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17" sheetId="6" r:id="rId6"/>
  </sheets>
  <definedNames/>
  <calcPr fullCalcOnLoad="1"/>
</workbook>
</file>

<file path=xl/sharedStrings.xml><?xml version="1.0" encoding="utf-8"?>
<sst xmlns="http://schemas.openxmlformats.org/spreadsheetml/2006/main" count="923" uniqueCount="203">
  <si>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</si>
  <si>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</si>
  <si>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</si>
  <si>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</si>
  <si>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</si>
  <si>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</si>
  <si>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</si>
  <si>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</si>
  <si>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</si>
  <si>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</si>
  <si>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</si>
  <si>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</si>
  <si>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</si>
  <si>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</si>
  <si>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</si>
  <si>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</si>
  <si>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</si>
  <si>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</si>
  <si>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</si>
  <si>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</si>
  <si>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</si>
  <si>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</si>
  <si>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</si>
  <si>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</si>
  <si>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</si>
  <si>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</si>
  <si>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</si>
  <si>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</si>
  <si>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</si>
  <si>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</si>
  <si>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</si>
  <si>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</si>
  <si>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</si>
  <si>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</si>
  <si>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</si>
  <si>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</si>
  <si>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</si>
  <si>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</si>
  <si>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</si>
  <si>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</si>
  <si>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</si>
  <si>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</si>
  <si>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</si>
  <si>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</si>
  <si>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</si>
  <si>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</si>
  <si>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</si>
  <si>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</si>
  <si>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</si>
  <si>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</si>
  <si>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</si>
  <si>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</si>
  <si>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</si>
  <si>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</si>
  <si>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</si>
  <si>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</si>
  <si>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</si>
  <si>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</si>
  <si>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</si>
  <si>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</si>
  <si>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</si>
  <si>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</si>
  <si>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</si>
  <si>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</si>
  <si>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</si>
  <si>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</si>
  <si>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</si>
  <si>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</si>
  <si>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</si>
  <si>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</si>
  <si>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</si>
  <si>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</si>
  <si>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</si>
  <si>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</si>
  <si>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</si>
  <si>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</si>
  <si>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</si>
  <si>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</si>
  <si>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</si>
  <si>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</si>
  <si>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</si>
  <si>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</si>
  <si>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</si>
  <si>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</si>
  <si>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</si>
  <si>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</si>
  <si>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</si>
  <si>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</si>
  <si>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</si>
  <si>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</si>
  <si>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</si>
  <si>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</si>
  <si>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</si>
  <si>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</si>
  <si>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</si>
  <si>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</si>
  <si>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</si>
  <si>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</si>
  <si>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</si>
  <si>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</si>
  <si>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</si>
  <si>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</si>
  <si>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</si>
  <si>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</si>
  <si>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</si>
  <si>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</si>
  <si>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</si>
  <si>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</si>
  <si>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</si>
  <si>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</si>
  <si>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</si>
  <si>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</si>
  <si>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</si>
  <si>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</si>
  <si>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</si>
  <si>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</si>
  <si>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</si>
  <si>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</si>
  <si>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</si>
  <si>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</si>
  <si>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</si>
  <si>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</si>
  <si>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</si>
  <si>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</si>
  <si>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</si>
  <si>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</si>
  <si>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</si>
  <si>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</si>
  <si>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</si>
  <si>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</si>
  <si>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</si>
  <si>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</si>
  <si>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</si>
  <si>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</si>
  <si>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</si>
  <si>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</si>
  <si>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</si>
  <si>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</si>
  <si>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</si>
  <si>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</si>
  <si>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</si>
  <si>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</si>
  <si>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</si>
  <si>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</si>
  <si>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</si>
  <si>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</si>
  <si>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</si>
  <si>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</si>
  <si>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</si>
  <si>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</si>
  <si>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</si>
  <si>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</si>
  <si>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</si>
  <si>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</si>
  <si>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</si>
  <si>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</si>
  <si>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</si>
  <si>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</si>
  <si>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</si>
  <si>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</si>
  <si>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</si>
  <si>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</si>
  <si>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</si>
  <si>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</si>
  <si>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</si>
  <si>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</si>
  <si>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</si>
  <si>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</si>
  <si>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</si>
  <si>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</si>
  <si>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</si>
  <si>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</si>
  <si>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</si>
  <si>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</si>
  <si>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</si>
  <si>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</si>
  <si>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</si>
  <si>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</si>
  <si>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</si>
  <si>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</si>
  <si>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</si>
  <si>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</si>
  <si>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</si>
  <si>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</si>
  <si>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</si>
  <si>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</si>
  <si>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</si>
  <si>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</si>
  <si>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</si>
  <si>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</si>
  <si>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</si>
  <si>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</si>
  <si>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</si>
  <si>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</si>
  <si>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</si>
  <si>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</si>
  <si>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</si>
  <si>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</si>
  <si>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</si>
  <si>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</si>
  <si>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</si>
  <si>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</si>
  <si>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06.06.17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</si>
</sst>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7" sqref="F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8" t="s">
        <v>201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5"/>
      <c r="T1" s="85"/>
      <c r="U1" s="86"/>
    </row>
    <row r="2" spans="2:21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199</v>
      </c>
      <c r="O3" s="301" t="s">
        <v>200</v>
      </c>
      <c r="P3" s="301"/>
      <c r="Q3" s="301"/>
      <c r="R3" s="301"/>
      <c r="S3" s="301"/>
      <c r="T3" s="301"/>
      <c r="U3" s="301"/>
    </row>
    <row r="4" spans="1:21" ht="22.5" customHeight="1">
      <c r="A4" s="290"/>
      <c r="B4" s="292"/>
      <c r="C4" s="293"/>
      <c r="D4" s="294"/>
      <c r="E4" s="302" t="s">
        <v>196</v>
      </c>
      <c r="F4" s="304" t="s">
        <v>33</v>
      </c>
      <c r="G4" s="306" t="s">
        <v>197</v>
      </c>
      <c r="H4" s="299" t="s">
        <v>198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202</v>
      </c>
      <c r="P4" s="306" t="s">
        <v>49</v>
      </c>
      <c r="Q4" s="310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191</v>
      </c>
      <c r="L5" s="312"/>
      <c r="M5" s="313"/>
      <c r="N5" s="300"/>
      <c r="O5" s="309"/>
      <c r="P5" s="307"/>
      <c r="Q5" s="310"/>
      <c r="R5" s="314" t="s">
        <v>190</v>
      </c>
      <c r="S5" s="315"/>
      <c r="T5" s="316" t="s">
        <v>181</v>
      </c>
      <c r="U5" s="316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513727.91000000003</v>
      </c>
      <c r="G8" s="149">
        <f aca="true" t="shared" si="0" ref="G8:G40">F8-E8</f>
        <v>-95147.68999999994</v>
      </c>
      <c r="H8" s="150">
        <f>F8/E8*100</f>
        <v>84.37321351028027</v>
      </c>
      <c r="I8" s="151">
        <f>F8-D8</f>
        <v>-784723.1900000001</v>
      </c>
      <c r="J8" s="151">
        <f>F8/D8*100</f>
        <v>39.56467132262432</v>
      </c>
      <c r="K8" s="149">
        <v>374994.96</v>
      </c>
      <c r="L8" s="149">
        <f aca="true" t="shared" si="1" ref="L8:L54">F8-K8</f>
        <v>138732.95</v>
      </c>
      <c r="M8" s="203">
        <f aca="true" t="shared" si="2" ref="M8:M31">F8/K8</f>
        <v>1.3699595055890885</v>
      </c>
      <c r="N8" s="149">
        <f>N9+N15+N18+N19+N23+N17</f>
        <v>104172</v>
      </c>
      <c r="O8" s="149">
        <f>O9+O15+O18+O19+O23+O17</f>
        <v>8631.950000000012</v>
      </c>
      <c r="P8" s="149">
        <f>O8-N8</f>
        <v>-95540.04999999999</v>
      </c>
      <c r="Q8" s="149">
        <f>O8/N8*100</f>
        <v>8.286247744115514</v>
      </c>
      <c r="R8" s="15">
        <f>R9+R15+R18+R19+R23</f>
        <v>104639</v>
      </c>
      <c r="S8" s="15">
        <f>O8-R8</f>
        <v>-96007.04999999999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288249.46</v>
      </c>
      <c r="G9" s="148">
        <f t="shared" si="0"/>
        <v>-60990.53999999998</v>
      </c>
      <c r="H9" s="155">
        <f>F9/E9*100</f>
        <v>82.53621005612187</v>
      </c>
      <c r="I9" s="156">
        <f>F9-D9</f>
        <v>-478395.54</v>
      </c>
      <c r="J9" s="156">
        <f>F9/D9*100</f>
        <v>37.59881822747165</v>
      </c>
      <c r="K9" s="225">
        <v>199100.92</v>
      </c>
      <c r="L9" s="157">
        <f t="shared" si="1"/>
        <v>89148.54000000001</v>
      </c>
      <c r="M9" s="204">
        <f t="shared" si="2"/>
        <v>1.4477555402556654</v>
      </c>
      <c r="N9" s="155">
        <f>E9-травень!E9</f>
        <v>70400</v>
      </c>
      <c r="O9" s="158">
        <f>F9-травень!F9</f>
        <v>6617.880000000005</v>
      </c>
      <c r="P9" s="159">
        <f>O9-N9</f>
        <v>-63782.119999999995</v>
      </c>
      <c r="Q9" s="156">
        <f>O9/N9*100</f>
        <v>9.400397727272734</v>
      </c>
      <c r="R9" s="99">
        <v>57980</v>
      </c>
      <c r="S9" s="99">
        <f>O9-R9</f>
        <v>-51362.119999999995</v>
      </c>
      <c r="T9" s="99">
        <f>березень!F9+квітень!R9</f>
        <v>223567.36</v>
      </c>
      <c r="U9" s="99">
        <f>F9-T9</f>
        <v>64682.100000000035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264039.36</v>
      </c>
      <c r="G10" s="102">
        <f t="shared" si="0"/>
        <v>-54024.640000000014</v>
      </c>
      <c r="H10" s="29">
        <f aca="true" t="shared" si="3" ref="H10:H39">F10/E10*100</f>
        <v>83.01453795462548</v>
      </c>
      <c r="I10" s="103">
        <f aca="true" t="shared" si="4" ref="I10:I40">F10-D10</f>
        <v>-437277.64</v>
      </c>
      <c r="J10" s="103">
        <f aca="true" t="shared" si="5" ref="J10:J39">F10/D10*100</f>
        <v>37.649074526925766</v>
      </c>
      <c r="K10" s="105">
        <v>174168.33</v>
      </c>
      <c r="L10" s="105">
        <f t="shared" si="1"/>
        <v>89871.03</v>
      </c>
      <c r="M10" s="205">
        <f t="shared" si="2"/>
        <v>1.5160009859427372</v>
      </c>
      <c r="N10" s="104">
        <f>E10-травень!E10</f>
        <v>64904</v>
      </c>
      <c r="O10" s="142">
        <f>F10-травень!F10</f>
        <v>6460.179999999993</v>
      </c>
      <c r="P10" s="105">
        <f aca="true" t="shared" si="6" ref="P10:P40">O10-N10</f>
        <v>-58443.82000000001</v>
      </c>
      <c r="Q10" s="103">
        <f aca="true" t="shared" si="7" ref="Q10:Q27">O10/N10*100</f>
        <v>9.953438925181796</v>
      </c>
      <c r="R10" s="36"/>
      <c r="S10" s="99">
        <f aca="true" t="shared" si="8" ref="S10:S35">O10-R10</f>
        <v>6460.179999999993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15820.53</v>
      </c>
      <c r="G11" s="102">
        <f t="shared" si="0"/>
        <v>-6379.469999999999</v>
      </c>
      <c r="H11" s="29">
        <f t="shared" si="3"/>
        <v>71.26364864864865</v>
      </c>
      <c r="I11" s="103">
        <f t="shared" si="4"/>
        <v>-30685.47</v>
      </c>
      <c r="J11" s="103">
        <f t="shared" si="5"/>
        <v>34.01825570894078</v>
      </c>
      <c r="K11" s="105">
        <v>14679.25</v>
      </c>
      <c r="L11" s="105">
        <f t="shared" si="1"/>
        <v>1141.2800000000007</v>
      </c>
      <c r="M11" s="205">
        <f t="shared" si="2"/>
        <v>1.077747841340668</v>
      </c>
      <c r="N11" s="104">
        <f>E11-травень!E11</f>
        <v>3840</v>
      </c>
      <c r="O11" s="142">
        <f>F11-травень!F11</f>
        <v>0.6300000000010186</v>
      </c>
      <c r="P11" s="105">
        <f t="shared" si="6"/>
        <v>-3839.369999999999</v>
      </c>
      <c r="Q11" s="103">
        <f t="shared" si="7"/>
        <v>0.016406250000026525</v>
      </c>
      <c r="R11" s="36"/>
      <c r="S11" s="99">
        <f t="shared" si="8"/>
        <v>0.6300000000010186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3837.7</v>
      </c>
      <c r="G12" s="102">
        <f t="shared" si="0"/>
        <v>-2.300000000000182</v>
      </c>
      <c r="H12" s="29">
        <f t="shared" si="3"/>
        <v>99.94010416666667</v>
      </c>
      <c r="I12" s="103">
        <f t="shared" si="4"/>
        <v>-4442.3</v>
      </c>
      <c r="J12" s="103">
        <f t="shared" si="5"/>
        <v>46.34903381642512</v>
      </c>
      <c r="K12" s="105">
        <v>4583.23</v>
      </c>
      <c r="L12" s="105">
        <f t="shared" si="1"/>
        <v>-745.5299999999997</v>
      </c>
      <c r="M12" s="205">
        <f t="shared" si="2"/>
        <v>0.8373352417399956</v>
      </c>
      <c r="N12" s="104">
        <f>E12-травень!E12</f>
        <v>900</v>
      </c>
      <c r="O12" s="142">
        <f>F12-травень!F12</f>
        <v>95.4399999999996</v>
      </c>
      <c r="P12" s="105">
        <f t="shared" si="6"/>
        <v>-804.5600000000004</v>
      </c>
      <c r="Q12" s="103">
        <f t="shared" si="7"/>
        <v>10.6044444444444</v>
      </c>
      <c r="R12" s="36"/>
      <c r="S12" s="99">
        <f t="shared" si="8"/>
        <v>95.4399999999996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3921.48</v>
      </c>
      <c r="G13" s="102">
        <f t="shared" si="0"/>
        <v>-638.52</v>
      </c>
      <c r="H13" s="29">
        <f t="shared" si="3"/>
        <v>85.99736842105263</v>
      </c>
      <c r="I13" s="103">
        <f t="shared" si="4"/>
        <v>-5468.52</v>
      </c>
      <c r="J13" s="103">
        <f t="shared" si="5"/>
        <v>41.762300319488816</v>
      </c>
      <c r="K13" s="105">
        <v>3763.44</v>
      </c>
      <c r="L13" s="105">
        <f t="shared" si="1"/>
        <v>158.03999999999996</v>
      </c>
      <c r="M13" s="205">
        <f t="shared" si="2"/>
        <v>1.041993495312799</v>
      </c>
      <c r="N13" s="104">
        <f>E13-травень!E13</f>
        <v>660</v>
      </c>
      <c r="O13" s="142">
        <f>F13-травень!F13</f>
        <v>38.88999999999987</v>
      </c>
      <c r="P13" s="105">
        <f t="shared" si="6"/>
        <v>-621.1100000000001</v>
      </c>
      <c r="Q13" s="103">
        <f t="shared" si="7"/>
        <v>5.892424242424223</v>
      </c>
      <c r="R13" s="36"/>
      <c r="S13" s="99">
        <f t="shared" si="8"/>
        <v>38.88999999999987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630.4</v>
      </c>
      <c r="G14" s="102">
        <f t="shared" si="0"/>
        <v>54.39999999999998</v>
      </c>
      <c r="H14" s="29">
        <f t="shared" si="3"/>
        <v>109.44444444444443</v>
      </c>
      <c r="I14" s="103">
        <f t="shared" si="4"/>
        <v>-521.6</v>
      </c>
      <c r="J14" s="103">
        <f t="shared" si="5"/>
        <v>54.722222222222214</v>
      </c>
      <c r="K14" s="105">
        <v>1906.68</v>
      </c>
      <c r="L14" s="105">
        <f t="shared" si="1"/>
        <v>-1276.2800000000002</v>
      </c>
      <c r="M14" s="205">
        <f t="shared" si="2"/>
        <v>0.33062705855203806</v>
      </c>
      <c r="N14" s="104">
        <f>E14-травень!E14</f>
        <v>96</v>
      </c>
      <c r="O14" s="142">
        <f>F14-травень!F14</f>
        <v>22.75</v>
      </c>
      <c r="P14" s="105">
        <f t="shared" si="6"/>
        <v>-73.25</v>
      </c>
      <c r="Q14" s="103">
        <f t="shared" si="7"/>
        <v>23.697916666666664</v>
      </c>
      <c r="R14" s="36"/>
      <c r="S14" s="99">
        <f t="shared" si="8"/>
        <v>22.75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E15-травень!E15</f>
        <v>0</v>
      </c>
      <c r="O15" s="166">
        <f>F15-травень!F15</f>
        <v>0</v>
      </c>
      <c r="P15" s="159">
        <f t="shared" si="6"/>
        <v>0</v>
      </c>
      <c r="Q15" s="156"/>
      <c r="R15" s="36">
        <v>150</v>
      </c>
      <c r="S15" s="99">
        <f t="shared" si="8"/>
        <v>-150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E16-травень!E16</f>
        <v>0</v>
      </c>
      <c r="O16" s="166">
        <f>F16-травень!F16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E17-травень!E17</f>
        <v>0</v>
      </c>
      <c r="O17" s="166">
        <f>F17-травень!F17</f>
        <v>0</v>
      </c>
      <c r="P17" s="165">
        <f t="shared" si="6"/>
        <v>0</v>
      </c>
      <c r="Q17" s="156"/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E18-травень!E18</f>
        <v>0</v>
      </c>
      <c r="O18" s="166">
        <f>F18-травень!F18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45557.69</v>
      </c>
      <c r="G19" s="160">
        <f t="shared" si="0"/>
        <v>-14042.309999999998</v>
      </c>
      <c r="H19" s="162">
        <f t="shared" si="3"/>
        <v>76.43907718120806</v>
      </c>
      <c r="I19" s="163">
        <f t="shared" si="4"/>
        <v>-84442.31</v>
      </c>
      <c r="J19" s="163">
        <f t="shared" si="5"/>
        <v>35.044376923076925</v>
      </c>
      <c r="K19" s="159">
        <v>35230.56</v>
      </c>
      <c r="L19" s="165">
        <f t="shared" si="1"/>
        <v>10327.130000000005</v>
      </c>
      <c r="M19" s="211">
        <f t="shared" si="2"/>
        <v>1.2931298849635091</v>
      </c>
      <c r="N19" s="162">
        <f>E19-травень!E19</f>
        <v>11200</v>
      </c>
      <c r="O19" s="166">
        <f>F19-травень!F19</f>
        <v>562.6000000000058</v>
      </c>
      <c r="P19" s="165">
        <f t="shared" si="6"/>
        <v>-10637.399999999994</v>
      </c>
      <c r="Q19" s="163">
        <f t="shared" si="7"/>
        <v>5.023214285714338</v>
      </c>
      <c r="R19" s="36">
        <v>9450</v>
      </c>
      <c r="S19" s="99">
        <f t="shared" si="8"/>
        <v>-8887.399999999994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26196.22</v>
      </c>
      <c r="G20" s="250">
        <f t="shared" si="0"/>
        <v>-9703.779999999999</v>
      </c>
      <c r="H20" s="193">
        <f t="shared" si="3"/>
        <v>72.96997214484679</v>
      </c>
      <c r="I20" s="251">
        <f t="shared" si="4"/>
        <v>-50303.78</v>
      </c>
      <c r="J20" s="251">
        <f t="shared" si="5"/>
        <v>34.243424836601314</v>
      </c>
      <c r="K20" s="252">
        <v>35230.56</v>
      </c>
      <c r="L20" s="164">
        <f t="shared" si="1"/>
        <v>-9034.339999999997</v>
      </c>
      <c r="M20" s="253">
        <f t="shared" si="2"/>
        <v>0.7435652456276597</v>
      </c>
      <c r="N20" s="193">
        <f>E20-травень!E20</f>
        <v>6250</v>
      </c>
      <c r="O20" s="177">
        <f>F20-травень!F20</f>
        <v>67.72999999999956</v>
      </c>
      <c r="P20" s="164">
        <f t="shared" si="6"/>
        <v>-6182.27</v>
      </c>
      <c r="Q20" s="251">
        <f t="shared" si="7"/>
        <v>1.0836799999999929</v>
      </c>
      <c r="R20" s="106">
        <v>4450</v>
      </c>
      <c r="S20" s="99">
        <f t="shared" si="8"/>
        <v>-4382.27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4095.4</v>
      </c>
      <c r="G21" s="250">
        <f t="shared" si="0"/>
        <v>-804.5999999999999</v>
      </c>
      <c r="H21" s="193"/>
      <c r="I21" s="251">
        <f t="shared" si="4"/>
        <v>-6604.6</v>
      </c>
      <c r="J21" s="251">
        <f t="shared" si="5"/>
        <v>38.27476635514019</v>
      </c>
      <c r="K21" s="252">
        <v>0</v>
      </c>
      <c r="L21" s="164">
        <f t="shared" si="1"/>
        <v>4095.4</v>
      </c>
      <c r="M21" s="253"/>
      <c r="N21" s="193">
        <f>E21-травень!E21</f>
        <v>950</v>
      </c>
      <c r="O21" s="177">
        <f>F21-травень!F21</f>
        <v>1.7100000000000364</v>
      </c>
      <c r="P21" s="164">
        <f t="shared" si="6"/>
        <v>-948.29</v>
      </c>
      <c r="Q21" s="251"/>
      <c r="R21" s="106">
        <v>1000</v>
      </c>
      <c r="S21" s="99">
        <f t="shared" si="8"/>
        <v>-998.29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15266.06</v>
      </c>
      <c r="G22" s="250">
        <f t="shared" si="0"/>
        <v>-3533.9400000000005</v>
      </c>
      <c r="H22" s="193"/>
      <c r="I22" s="251">
        <f t="shared" si="4"/>
        <v>-27533.940000000002</v>
      </c>
      <c r="J22" s="251">
        <f t="shared" si="5"/>
        <v>35.66836448598131</v>
      </c>
      <c r="K22" s="252">
        <v>0</v>
      </c>
      <c r="L22" s="164">
        <f t="shared" si="1"/>
        <v>15266.06</v>
      </c>
      <c r="M22" s="253"/>
      <c r="N22" s="193">
        <f>E22-травень!E22</f>
        <v>4000</v>
      </c>
      <c r="O22" s="177">
        <f>F22-травень!F22</f>
        <v>493.1399999999994</v>
      </c>
      <c r="P22" s="164">
        <f t="shared" si="6"/>
        <v>-3506.8600000000006</v>
      </c>
      <c r="Q22" s="251"/>
      <c r="R22" s="106">
        <v>4000</v>
      </c>
      <c r="S22" s="99">
        <f t="shared" si="8"/>
        <v>-3506.8600000000006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179757.25</v>
      </c>
      <c r="G23" s="148">
        <f t="shared" si="0"/>
        <v>-19867.349999999977</v>
      </c>
      <c r="H23" s="155">
        <f t="shared" si="3"/>
        <v>90.04764442859248</v>
      </c>
      <c r="I23" s="156">
        <f t="shared" si="4"/>
        <v>-221372.84999999998</v>
      </c>
      <c r="J23" s="156">
        <f t="shared" si="5"/>
        <v>44.81270540405719</v>
      </c>
      <c r="K23" s="156">
        <v>140248.27</v>
      </c>
      <c r="L23" s="159">
        <f t="shared" si="1"/>
        <v>39508.98000000001</v>
      </c>
      <c r="M23" s="207">
        <f t="shared" si="2"/>
        <v>1.2817074321130664</v>
      </c>
      <c r="N23" s="155">
        <f>E23-травень!E23</f>
        <v>22572</v>
      </c>
      <c r="O23" s="158">
        <f>F23-травень!F23</f>
        <v>1451.4700000000012</v>
      </c>
      <c r="P23" s="159">
        <f t="shared" si="6"/>
        <v>-21120.53</v>
      </c>
      <c r="Q23" s="156">
        <f t="shared" si="7"/>
        <v>6.430400496189975</v>
      </c>
      <c r="R23" s="280">
        <f>R24+R32+R33+R34+R35</f>
        <v>37059</v>
      </c>
      <c r="S23" s="99">
        <f t="shared" si="8"/>
        <v>-35607.53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82100.81999999999</v>
      </c>
      <c r="G24" s="148">
        <f t="shared" si="0"/>
        <v>-16572.08</v>
      </c>
      <c r="H24" s="155">
        <f t="shared" si="3"/>
        <v>83.20503400629758</v>
      </c>
      <c r="I24" s="156">
        <f t="shared" si="4"/>
        <v>-124520.18000000001</v>
      </c>
      <c r="J24" s="156">
        <f t="shared" si="5"/>
        <v>39.734983375358745</v>
      </c>
      <c r="K24" s="156">
        <v>71540.14</v>
      </c>
      <c r="L24" s="159">
        <f t="shared" si="1"/>
        <v>10560.679999999993</v>
      </c>
      <c r="M24" s="207">
        <f t="shared" si="2"/>
        <v>1.147618945112492</v>
      </c>
      <c r="N24" s="155">
        <f>E24-травень!E24</f>
        <v>15965</v>
      </c>
      <c r="O24" s="158">
        <f>F24-травень!F24</f>
        <v>368.6899999999878</v>
      </c>
      <c r="P24" s="159">
        <f t="shared" si="6"/>
        <v>-15596.310000000012</v>
      </c>
      <c r="Q24" s="156">
        <f t="shared" si="7"/>
        <v>2.3093642342623726</v>
      </c>
      <c r="R24" s="106">
        <f>R25+R28+R29</f>
        <v>14352</v>
      </c>
      <c r="S24" s="99">
        <f t="shared" si="8"/>
        <v>-13983.310000000012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10157.71</v>
      </c>
      <c r="G25" s="169">
        <f t="shared" si="0"/>
        <v>-231.39000000000124</v>
      </c>
      <c r="H25" s="171">
        <f t="shared" si="3"/>
        <v>97.77276183692523</v>
      </c>
      <c r="I25" s="172">
        <f t="shared" si="4"/>
        <v>-12651.29</v>
      </c>
      <c r="J25" s="172">
        <f t="shared" si="5"/>
        <v>44.533780525231265</v>
      </c>
      <c r="K25" s="173">
        <v>8640.15</v>
      </c>
      <c r="L25" s="164">
        <f t="shared" si="1"/>
        <v>1517.5599999999995</v>
      </c>
      <c r="M25" s="213">
        <f t="shared" si="2"/>
        <v>1.175640469204817</v>
      </c>
      <c r="N25" s="193">
        <f>E25-травень!E25</f>
        <v>805</v>
      </c>
      <c r="O25" s="177">
        <f>F25-травень!F25</f>
        <v>21.669999999998254</v>
      </c>
      <c r="P25" s="175">
        <f t="shared" si="6"/>
        <v>-783.3300000000017</v>
      </c>
      <c r="Q25" s="172">
        <f t="shared" si="7"/>
        <v>2.6919254658382923</v>
      </c>
      <c r="R25" s="106">
        <v>347</v>
      </c>
      <c r="S25" s="99">
        <f t="shared" si="8"/>
        <v>-325.33000000000175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710</v>
      </c>
      <c r="F26" s="161">
        <v>197.92</v>
      </c>
      <c r="G26" s="196">
        <f t="shared" si="0"/>
        <v>-512.08</v>
      </c>
      <c r="H26" s="197">
        <f t="shared" si="3"/>
        <v>27.876056338028164</v>
      </c>
      <c r="I26" s="198">
        <f t="shared" si="4"/>
        <v>-1624.3799999999999</v>
      </c>
      <c r="J26" s="198">
        <f t="shared" si="5"/>
        <v>10.86099983537288</v>
      </c>
      <c r="K26" s="198">
        <v>263.65</v>
      </c>
      <c r="L26" s="198">
        <f t="shared" si="1"/>
        <v>-65.72999999999999</v>
      </c>
      <c r="M26" s="226">
        <f t="shared" si="2"/>
        <v>0.7506922055755737</v>
      </c>
      <c r="N26" s="234">
        <f>E26-травень!E26</f>
        <v>105</v>
      </c>
      <c r="O26" s="234">
        <f>F26-травень!F26</f>
        <v>0.6499999999999773</v>
      </c>
      <c r="P26" s="198">
        <f t="shared" si="6"/>
        <v>-104.35000000000002</v>
      </c>
      <c r="Q26" s="198">
        <f t="shared" si="7"/>
        <v>0.6190476190475974</v>
      </c>
      <c r="R26" s="106"/>
      <c r="S26" s="99">
        <f t="shared" si="8"/>
        <v>0.6499999999999773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9679.1</v>
      </c>
      <c r="F27" s="161">
        <v>9959.78</v>
      </c>
      <c r="G27" s="196">
        <f t="shared" si="0"/>
        <v>280.6800000000003</v>
      </c>
      <c r="H27" s="197">
        <f t="shared" si="3"/>
        <v>102.89985639160666</v>
      </c>
      <c r="I27" s="198">
        <f t="shared" si="4"/>
        <v>-11026.92</v>
      </c>
      <c r="J27" s="198">
        <f t="shared" si="5"/>
        <v>47.4575802770326</v>
      </c>
      <c r="K27" s="198">
        <v>8376.5</v>
      </c>
      <c r="L27" s="198">
        <f t="shared" si="1"/>
        <v>1583.2800000000007</v>
      </c>
      <c r="M27" s="226">
        <f t="shared" si="2"/>
        <v>1.1890145048648004</v>
      </c>
      <c r="N27" s="234">
        <f>E27-травень!E27</f>
        <v>700</v>
      </c>
      <c r="O27" s="234">
        <f>F27-травень!F27</f>
        <v>21.01000000000022</v>
      </c>
      <c r="P27" s="198">
        <f t="shared" si="6"/>
        <v>-678.9899999999998</v>
      </c>
      <c r="Q27" s="198">
        <f t="shared" si="7"/>
        <v>3.001428571428603</v>
      </c>
      <c r="R27" s="106"/>
      <c r="S27" s="99">
        <f t="shared" si="8"/>
        <v>21.01000000000022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-70.48</v>
      </c>
      <c r="G28" s="169">
        <f t="shared" si="0"/>
        <v>-204.28000000000003</v>
      </c>
      <c r="H28" s="171">
        <f t="shared" si="3"/>
        <v>-52.67563527653214</v>
      </c>
      <c r="I28" s="172">
        <f t="shared" si="4"/>
        <v>-890.48</v>
      </c>
      <c r="J28" s="172">
        <f t="shared" si="5"/>
        <v>-8.595121951219513</v>
      </c>
      <c r="K28" s="172">
        <v>420.08</v>
      </c>
      <c r="L28" s="172">
        <f t="shared" si="1"/>
        <v>-490.56</v>
      </c>
      <c r="M28" s="210">
        <f t="shared" si="2"/>
        <v>-0.1677775661778709</v>
      </c>
      <c r="N28" s="193">
        <f>E28-травень!E28</f>
        <v>5</v>
      </c>
      <c r="O28" s="177">
        <f>F28-травень!F28</f>
        <v>-25.000000000000007</v>
      </c>
      <c r="P28" s="175">
        <f t="shared" si="6"/>
        <v>-30.000000000000007</v>
      </c>
      <c r="Q28" s="172">
        <f>O28/N28*100</f>
        <v>-500.00000000000017</v>
      </c>
      <c r="R28" s="106">
        <v>5</v>
      </c>
      <c r="S28" s="99">
        <f t="shared" si="8"/>
        <v>-30.000000000000007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72013.59</v>
      </c>
      <c r="G29" s="169">
        <f t="shared" si="0"/>
        <v>-16136.410000000003</v>
      </c>
      <c r="H29" s="171">
        <f t="shared" si="3"/>
        <v>81.6943732274532</v>
      </c>
      <c r="I29" s="172">
        <f t="shared" si="4"/>
        <v>-110978.41</v>
      </c>
      <c r="J29" s="172">
        <f t="shared" si="5"/>
        <v>39.35340889219201</v>
      </c>
      <c r="K29" s="173">
        <v>62479.91</v>
      </c>
      <c r="L29" s="173">
        <f t="shared" si="1"/>
        <v>9533.679999999993</v>
      </c>
      <c r="M29" s="209">
        <f t="shared" si="2"/>
        <v>1.1525879278635323</v>
      </c>
      <c r="N29" s="193">
        <f>E29-травень!E29</f>
        <v>15155</v>
      </c>
      <c r="O29" s="177">
        <f>F29-травень!F29</f>
        <v>372.0199999999895</v>
      </c>
      <c r="P29" s="175">
        <f t="shared" si="6"/>
        <v>-14782.98000000001</v>
      </c>
      <c r="Q29" s="172">
        <f>O29/N29*100</f>
        <v>2.4547674034971263</v>
      </c>
      <c r="R29" s="106">
        <v>14000</v>
      </c>
      <c r="S29" s="99">
        <f t="shared" si="8"/>
        <v>-13627.98000000001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26780</v>
      </c>
      <c r="F30" s="161">
        <v>24273.86</v>
      </c>
      <c r="G30" s="196">
        <f t="shared" si="0"/>
        <v>-2506.1399999999994</v>
      </c>
      <c r="H30" s="197">
        <f t="shared" si="3"/>
        <v>90.64174757281553</v>
      </c>
      <c r="I30" s="198">
        <f t="shared" si="4"/>
        <v>-33259.14</v>
      </c>
      <c r="J30" s="198">
        <f t="shared" si="5"/>
        <v>42.19119461874055</v>
      </c>
      <c r="K30" s="198">
        <v>19348.56</v>
      </c>
      <c r="L30" s="198">
        <f t="shared" si="1"/>
        <v>4925.299999999999</v>
      </c>
      <c r="M30" s="226">
        <f t="shared" si="2"/>
        <v>1.2545564114332022</v>
      </c>
      <c r="N30" s="234">
        <f>E30-травень!E30</f>
        <v>4700</v>
      </c>
      <c r="O30" s="234">
        <f>F30-травень!F30</f>
        <v>122.61999999999898</v>
      </c>
      <c r="P30" s="198">
        <f t="shared" si="6"/>
        <v>-4577.380000000001</v>
      </c>
      <c r="Q30" s="198">
        <f>O30/N30*100</f>
        <v>2.6089361702127443</v>
      </c>
      <c r="R30" s="106"/>
      <c r="S30" s="99">
        <f t="shared" si="8"/>
        <v>122.61999999999898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61370</v>
      </c>
      <c r="F31" s="161">
        <v>47739.73</v>
      </c>
      <c r="G31" s="196">
        <f t="shared" si="0"/>
        <v>-13630.269999999997</v>
      </c>
      <c r="H31" s="197">
        <f t="shared" si="3"/>
        <v>77.79001140622455</v>
      </c>
      <c r="I31" s="198">
        <f t="shared" si="4"/>
        <v>-77719.26999999999</v>
      </c>
      <c r="J31" s="198">
        <f t="shared" si="5"/>
        <v>38.05205684725688</v>
      </c>
      <c r="K31" s="198">
        <v>43131.35</v>
      </c>
      <c r="L31" s="198">
        <f t="shared" si="1"/>
        <v>4608.380000000005</v>
      </c>
      <c r="M31" s="226">
        <f t="shared" si="2"/>
        <v>1.106845252930873</v>
      </c>
      <c r="N31" s="234">
        <f>E31-травень!E31</f>
        <v>10455</v>
      </c>
      <c r="O31" s="234">
        <f>F31-травень!F31</f>
        <v>249.40000000000146</v>
      </c>
      <c r="P31" s="198">
        <f t="shared" si="6"/>
        <v>-10205.599999999999</v>
      </c>
      <c r="Q31" s="198">
        <f>O31/N31*100</f>
        <v>2.385461501673854</v>
      </c>
      <c r="R31" s="106"/>
      <c r="S31" s="99">
        <f t="shared" si="8"/>
        <v>249.40000000000146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E32-травень!E32</f>
        <v>0</v>
      </c>
      <c r="O32" s="158">
        <f>F32-травень!F32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75.23</v>
      </c>
      <c r="G33" s="148">
        <f t="shared" si="0"/>
        <v>29.230000000000004</v>
      </c>
      <c r="H33" s="155">
        <f t="shared" si="3"/>
        <v>163.54347826086956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E33-травень!E33</f>
        <v>7</v>
      </c>
      <c r="O33" s="158">
        <f>F33-травень!F33</f>
        <v>0</v>
      </c>
      <c r="P33" s="159">
        <f t="shared" si="6"/>
        <v>-7</v>
      </c>
      <c r="Q33" s="156">
        <f>O33/N33*100</f>
        <v>0</v>
      </c>
      <c r="R33" s="106">
        <v>7</v>
      </c>
      <c r="S33" s="99">
        <f t="shared" si="8"/>
        <v>-7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-27.18</v>
      </c>
      <c r="G34" s="148">
        <f t="shared" si="0"/>
        <v>-27.18</v>
      </c>
      <c r="H34" s="155"/>
      <c r="I34" s="156">
        <f t="shared" si="4"/>
        <v>-27.18</v>
      </c>
      <c r="J34" s="156"/>
      <c r="K34" s="156">
        <v>-109.72</v>
      </c>
      <c r="L34" s="156">
        <f t="shared" si="1"/>
        <v>82.53999999999999</v>
      </c>
      <c r="M34" s="208">
        <f>F34/K34</f>
        <v>0.24772147283995624</v>
      </c>
      <c r="N34" s="155">
        <f>E34-травень!E34</f>
        <v>0</v>
      </c>
      <c r="O34" s="158">
        <f>F34-травень!F34</f>
        <v>-0.41000000000000014</v>
      </c>
      <c r="P34" s="159">
        <f t="shared" si="6"/>
        <v>-0.41000000000000014</v>
      </c>
      <c r="Q34" s="156"/>
      <c r="R34" s="106"/>
      <c r="S34" s="99">
        <f t="shared" si="8"/>
        <v>-0.41000000000000014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97608.18</v>
      </c>
      <c r="G35" s="160">
        <f t="shared" si="0"/>
        <v>-3297.520000000004</v>
      </c>
      <c r="H35" s="162">
        <f t="shared" si="3"/>
        <v>96.73207757341756</v>
      </c>
      <c r="I35" s="163">
        <f t="shared" si="4"/>
        <v>-96785.92000000001</v>
      </c>
      <c r="J35" s="163">
        <f t="shared" si="5"/>
        <v>50.21149304428477</v>
      </c>
      <c r="K35" s="176">
        <v>68766.7</v>
      </c>
      <c r="L35" s="176">
        <f>F35-K35</f>
        <v>28841.479999999996</v>
      </c>
      <c r="M35" s="224">
        <f>F35/K35</f>
        <v>1.4194105577263414</v>
      </c>
      <c r="N35" s="155">
        <f>E35-травень!E35</f>
        <v>6600</v>
      </c>
      <c r="O35" s="158">
        <f>F35-травень!F35</f>
        <v>1083.1899999999878</v>
      </c>
      <c r="P35" s="165">
        <f t="shared" si="6"/>
        <v>-5516.810000000012</v>
      </c>
      <c r="Q35" s="163">
        <f>O35/N35*100</f>
        <v>16.41196969696951</v>
      </c>
      <c r="R35" s="106">
        <v>22700</v>
      </c>
      <c r="S35" s="99">
        <f t="shared" si="8"/>
        <v>-21616.810000000012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E36-травень!E36</f>
        <v>0</v>
      </c>
      <c r="O36" s="142">
        <f>F36-травень!F36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19433.39</v>
      </c>
      <c r="G37" s="102">
        <f t="shared" si="0"/>
        <v>-586.6100000000006</v>
      </c>
      <c r="H37" s="104">
        <f t="shared" si="3"/>
        <v>97.06988011988011</v>
      </c>
      <c r="I37" s="103">
        <f t="shared" si="4"/>
        <v>-21566.61</v>
      </c>
      <c r="J37" s="103">
        <f t="shared" si="5"/>
        <v>47.39851219512195</v>
      </c>
      <c r="K37" s="126">
        <v>17552.06</v>
      </c>
      <c r="L37" s="126">
        <f t="shared" si="1"/>
        <v>1881.329999999998</v>
      </c>
      <c r="M37" s="214">
        <f t="shared" si="9"/>
        <v>1.1071857092557795</v>
      </c>
      <c r="N37" s="104">
        <f>E37-травень!E37</f>
        <v>1100</v>
      </c>
      <c r="O37" s="142">
        <f>F37-травень!F37</f>
        <v>171.70000000000073</v>
      </c>
      <c r="P37" s="105">
        <f t="shared" si="6"/>
        <v>-928.2999999999993</v>
      </c>
      <c r="Q37" s="103">
        <f>O37/N37*100</f>
        <v>15.609090909090975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78151.67</v>
      </c>
      <c r="G38" s="102">
        <f t="shared" si="0"/>
        <v>-2708.3300000000017</v>
      </c>
      <c r="H38" s="104">
        <f t="shared" si="3"/>
        <v>96.65059361860004</v>
      </c>
      <c r="I38" s="103">
        <f t="shared" si="4"/>
        <v>-75187.43000000001</v>
      </c>
      <c r="J38" s="103">
        <f t="shared" si="5"/>
        <v>50.9665636488019</v>
      </c>
      <c r="K38" s="126">
        <v>51200.46</v>
      </c>
      <c r="L38" s="126">
        <f t="shared" si="1"/>
        <v>26951.21</v>
      </c>
      <c r="M38" s="214">
        <f t="shared" si="9"/>
        <v>1.5263860910624631</v>
      </c>
      <c r="N38" s="104">
        <f>E38-травень!E38</f>
        <v>5500</v>
      </c>
      <c r="O38" s="142">
        <f>F38-травень!F38</f>
        <v>911.4799999999959</v>
      </c>
      <c r="P38" s="105">
        <f t="shared" si="6"/>
        <v>-4588.520000000004</v>
      </c>
      <c r="Q38" s="103">
        <f>O38/N38*100</f>
        <v>16.572363636363562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E39-травень!E39</f>
        <v>0</v>
      </c>
      <c r="O39" s="142">
        <f>F39-травень!F39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E40-травень!E40</f>
        <v>0</v>
      </c>
      <c r="O40" s="158">
        <f>F40-травень!F40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30635.059999999998</v>
      </c>
      <c r="G41" s="149">
        <f>G42+G43+G44+G45+G46+G48+G50+G51+G52+G53+G54+G59+G60+G64</f>
        <v>765.1999999999999</v>
      </c>
      <c r="H41" s="150">
        <f>F41/E41*100</f>
        <v>102.40325443490295</v>
      </c>
      <c r="I41" s="151">
        <f>F41-D41</f>
        <v>-28389.940000000002</v>
      </c>
      <c r="J41" s="151">
        <f>F41/D41*100</f>
        <v>51.90183820415078</v>
      </c>
      <c r="K41" s="149">
        <v>22840.42</v>
      </c>
      <c r="L41" s="149">
        <f t="shared" si="1"/>
        <v>7794.639999999999</v>
      </c>
      <c r="M41" s="203">
        <f t="shared" si="9"/>
        <v>1.3412651781359537</v>
      </c>
      <c r="N41" s="149">
        <f>N42+N43+N44+N45+N46+N48+N50+N51+N52+N53+N54+N59+N60+N64+N47</f>
        <v>5118.8</v>
      </c>
      <c r="O41" s="149">
        <f>O42+O43+O44+O45+O46+O48+O50+O51+O52+O53+O54+O59+O60+O64+O47+O40</f>
        <v>3279.95</v>
      </c>
      <c r="P41" s="149">
        <f>P42+P43+P44+P45+P46+P48+P50+P51+P52+P53+P54+P59+P60+P64</f>
        <v>-1832.0500000000006</v>
      </c>
      <c r="Q41" s="149">
        <f>O41/N41*100</f>
        <v>64.0765413768852</v>
      </c>
      <c r="R41" s="15">
        <f>R42+R43+R44+R45+R46+R47+R48+R50+R51+R52+R53+R54+R59+R60+R64</f>
        <v>5273.700000000001</v>
      </c>
      <c r="S41" s="15">
        <f>O41-R41</f>
        <v>-1993.750000000001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420</v>
      </c>
      <c r="S42" s="36">
        <f>O42-R42</f>
        <v>-420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 aca="true" t="shared" si="12" ref="G43:G66">F43-E43</f>
        <v>-346.3600000000006</v>
      </c>
      <c r="H43" s="162">
        <f t="shared" si="10"/>
        <v>97.47182481751825</v>
      </c>
      <c r="I43" s="163">
        <f aca="true" t="shared" si="13" ref="I43:I66">F43-D43</f>
        <v>-16646.36</v>
      </c>
      <c r="J43" s="163">
        <f>F43/D43*100</f>
        <v>44.51213333333333</v>
      </c>
      <c r="K43" s="163">
        <v>10098.73</v>
      </c>
      <c r="L43" s="163">
        <f t="shared" si="1"/>
        <v>3254.91</v>
      </c>
      <c r="M43" s="216"/>
      <c r="N43" s="162">
        <f>E43-травень!E43</f>
        <v>2800</v>
      </c>
      <c r="O43" s="166">
        <f>F43-травень!F43</f>
        <v>2874.4799999999996</v>
      </c>
      <c r="P43" s="165">
        <f aca="true" t="shared" si="14" ref="P43:P66">O43-N43</f>
        <v>74.47999999999956</v>
      </c>
      <c r="Q43" s="163">
        <f t="shared" si="11"/>
        <v>102.65999999999997</v>
      </c>
      <c r="R43" s="36">
        <v>2672.3</v>
      </c>
      <c r="S43" s="36">
        <f aca="true" t="shared" si="15" ref="S43:S66">O43-R43</f>
        <v>202.17999999999938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92.8</v>
      </c>
      <c r="G44" s="160">
        <f t="shared" si="12"/>
        <v>70.8</v>
      </c>
      <c r="H44" s="162">
        <f>F44/E44*100</f>
        <v>421.81818181818176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E44-травень!E44</f>
        <v>1</v>
      </c>
      <c r="O44" s="166">
        <f>F44-травень!F44</f>
        <v>0</v>
      </c>
      <c r="P44" s="165">
        <f t="shared" si="14"/>
        <v>-1</v>
      </c>
      <c r="Q44" s="163">
        <f t="shared" si="11"/>
        <v>0</v>
      </c>
      <c r="R44" s="36">
        <v>1</v>
      </c>
      <c r="S44" s="36">
        <f t="shared" si="15"/>
        <v>-1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E45-травень!E45</f>
        <v>0</v>
      </c>
      <c r="O45" s="166">
        <f>F45-травень!F45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451.12</v>
      </c>
      <c r="G46" s="160">
        <f t="shared" si="12"/>
        <v>323.12</v>
      </c>
      <c r="H46" s="162">
        <f t="shared" si="10"/>
        <v>352.4375</v>
      </c>
      <c r="I46" s="163">
        <f t="shared" si="13"/>
        <v>191.12</v>
      </c>
      <c r="J46" s="163">
        <f t="shared" si="16"/>
        <v>173.5076923076923</v>
      </c>
      <c r="K46" s="163">
        <v>50.4</v>
      </c>
      <c r="L46" s="163">
        <f t="shared" si="1"/>
        <v>400.72</v>
      </c>
      <c r="M46" s="216">
        <f t="shared" si="17"/>
        <v>8.950793650793651</v>
      </c>
      <c r="N46" s="162">
        <f>E46-травень!E46</f>
        <v>22</v>
      </c>
      <c r="O46" s="166">
        <f>F46-травень!F46</f>
        <v>8.860000000000014</v>
      </c>
      <c r="P46" s="165">
        <f t="shared" si="14"/>
        <v>-13.139999999999986</v>
      </c>
      <c r="Q46" s="163">
        <f t="shared" si="11"/>
        <v>40.27272727272733</v>
      </c>
      <c r="R46" s="36">
        <v>22</v>
      </c>
      <c r="S46" s="36">
        <f t="shared" si="15"/>
        <v>-13.139999999999986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1.01</v>
      </c>
      <c r="G47" s="160">
        <f t="shared" si="12"/>
        <v>-46.59</v>
      </c>
      <c r="H47" s="162">
        <f t="shared" si="10"/>
        <v>2.1218487394957983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E47-травень!E47</f>
        <v>6.800000000000004</v>
      </c>
      <c r="O47" s="166">
        <f>F47-травень!F47</f>
        <v>0</v>
      </c>
      <c r="P47" s="165">
        <f t="shared" si="14"/>
        <v>-6.800000000000004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520.61</v>
      </c>
      <c r="G48" s="160">
        <f t="shared" si="12"/>
        <v>60.610000000000014</v>
      </c>
      <c r="H48" s="162">
        <f t="shared" si="10"/>
        <v>113.17608695652174</v>
      </c>
      <c r="I48" s="163">
        <f t="shared" si="13"/>
        <v>-209.39</v>
      </c>
      <c r="J48" s="163">
        <f t="shared" si="16"/>
        <v>71.31643835616438</v>
      </c>
      <c r="K48" s="163">
        <v>76.33</v>
      </c>
      <c r="L48" s="163">
        <f t="shared" si="1"/>
        <v>444.28000000000003</v>
      </c>
      <c r="M48" s="216"/>
      <c r="N48" s="162">
        <f>E48-травень!E48</f>
        <v>60</v>
      </c>
      <c r="O48" s="166">
        <f>F48-травень!F48</f>
        <v>15.480000000000018</v>
      </c>
      <c r="P48" s="165">
        <f t="shared" si="14"/>
        <v>-44.51999999999998</v>
      </c>
      <c r="Q48" s="163">
        <f t="shared" si="11"/>
        <v>25.80000000000003</v>
      </c>
      <c r="R48" s="36">
        <v>60</v>
      </c>
      <c r="S48" s="36">
        <f t="shared" si="15"/>
        <v>-44.51999999999998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6552.34</v>
      </c>
      <c r="G50" s="160">
        <f t="shared" si="12"/>
        <v>512.3400000000001</v>
      </c>
      <c r="H50" s="162">
        <f t="shared" si="10"/>
        <v>108.48245033112582</v>
      </c>
      <c r="I50" s="163">
        <f t="shared" si="13"/>
        <v>-4447.66</v>
      </c>
      <c r="J50" s="163">
        <f t="shared" si="16"/>
        <v>59.56672727272727</v>
      </c>
      <c r="K50" s="163">
        <v>4057.41</v>
      </c>
      <c r="L50" s="163">
        <f t="shared" si="1"/>
        <v>2494.9300000000003</v>
      </c>
      <c r="M50" s="216">
        <f t="shared" si="17"/>
        <v>1.61490704661348</v>
      </c>
      <c r="N50" s="162">
        <f>E50-травень!E50</f>
        <v>900</v>
      </c>
      <c r="O50" s="166">
        <f>F50-травень!F50</f>
        <v>302.0699999999997</v>
      </c>
      <c r="P50" s="165">
        <f t="shared" si="14"/>
        <v>-597.9300000000003</v>
      </c>
      <c r="Q50" s="163">
        <f t="shared" si="11"/>
        <v>33.563333333333304</v>
      </c>
      <c r="R50" s="36">
        <v>1000</v>
      </c>
      <c r="S50" s="36">
        <f t="shared" si="15"/>
        <v>-697.9300000000003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225.11</v>
      </c>
      <c r="G51" s="160">
        <f t="shared" si="12"/>
        <v>75.11000000000001</v>
      </c>
      <c r="H51" s="162">
        <f t="shared" si="10"/>
        <v>150.07333333333335</v>
      </c>
      <c r="I51" s="163">
        <f t="shared" si="13"/>
        <v>-84.88999999999999</v>
      </c>
      <c r="J51" s="163">
        <f t="shared" si="16"/>
        <v>72.61612903225807</v>
      </c>
      <c r="K51" s="163">
        <v>33.93</v>
      </c>
      <c r="L51" s="163">
        <f t="shared" si="1"/>
        <v>191.18</v>
      </c>
      <c r="M51" s="216"/>
      <c r="N51" s="162">
        <f>E51-травень!E51</f>
        <v>25</v>
      </c>
      <c r="O51" s="166">
        <f>F51-травень!F51</f>
        <v>8.76000000000002</v>
      </c>
      <c r="P51" s="165">
        <f t="shared" si="14"/>
        <v>-16.23999999999998</v>
      </c>
      <c r="Q51" s="163">
        <f t="shared" si="11"/>
        <v>35.04000000000008</v>
      </c>
      <c r="R51" s="36">
        <v>25</v>
      </c>
      <c r="S51" s="36">
        <f t="shared" si="15"/>
        <v>-16.23999999999998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12.32</v>
      </c>
      <c r="G52" s="160">
        <f t="shared" si="12"/>
        <v>1.3200000000000003</v>
      </c>
      <c r="H52" s="162">
        <f t="shared" si="10"/>
        <v>112.00000000000001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E52-травень!E52</f>
        <v>4</v>
      </c>
      <c r="O52" s="166">
        <f>F52-травень!F52</f>
        <v>0</v>
      </c>
      <c r="P52" s="165">
        <f t="shared" si="14"/>
        <v>-4</v>
      </c>
      <c r="Q52" s="163">
        <f t="shared" si="11"/>
        <v>0</v>
      </c>
      <c r="R52" s="36">
        <v>3</v>
      </c>
      <c r="S52" s="36">
        <f t="shared" si="15"/>
        <v>-3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2721.32</v>
      </c>
      <c r="G53" s="160">
        <f t="shared" si="12"/>
        <v>-923.6799999999998</v>
      </c>
      <c r="H53" s="162">
        <f t="shared" si="10"/>
        <v>74.65898491083676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E53-травень!E53</f>
        <v>605</v>
      </c>
      <c r="O53" s="166">
        <f>F53-травень!F53</f>
        <v>0</v>
      </c>
      <c r="P53" s="165">
        <f t="shared" si="14"/>
        <v>-605</v>
      </c>
      <c r="Q53" s="163">
        <f t="shared" si="11"/>
        <v>0</v>
      </c>
      <c r="R53" s="36">
        <v>533.6</v>
      </c>
      <c r="S53" s="36">
        <f t="shared" si="15"/>
        <v>-533.6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345.19</v>
      </c>
      <c r="G54" s="160">
        <f t="shared" si="12"/>
        <v>-224.81</v>
      </c>
      <c r="H54" s="162">
        <f t="shared" si="10"/>
        <v>60.559649122807016</v>
      </c>
      <c r="I54" s="163">
        <f t="shared" si="13"/>
        <v>-854.81</v>
      </c>
      <c r="J54" s="163">
        <f t="shared" si="16"/>
        <v>28.765833333333333</v>
      </c>
      <c r="K54" s="163">
        <v>2573.46</v>
      </c>
      <c r="L54" s="163">
        <f t="shared" si="1"/>
        <v>-2228.27</v>
      </c>
      <c r="M54" s="216">
        <f t="shared" si="17"/>
        <v>0.1341345892300638</v>
      </c>
      <c r="N54" s="162">
        <f>E54-травень!E54</f>
        <v>95</v>
      </c>
      <c r="O54" s="166">
        <f>F54-травень!F54</f>
        <v>11.670000000000016</v>
      </c>
      <c r="P54" s="165">
        <f t="shared" si="14"/>
        <v>-83.32999999999998</v>
      </c>
      <c r="Q54" s="163">
        <f t="shared" si="11"/>
        <v>12.284210526315805</v>
      </c>
      <c r="R54" s="36">
        <v>70</v>
      </c>
      <c r="S54" s="36">
        <f t="shared" si="15"/>
        <v>-58.329999999999984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300.68</v>
      </c>
      <c r="G55" s="33">
        <f t="shared" si="12"/>
        <v>-179.32</v>
      </c>
      <c r="H55" s="29">
        <f t="shared" si="10"/>
        <v>62.64166666666667</v>
      </c>
      <c r="I55" s="103">
        <f t="shared" si="13"/>
        <v>-697.3199999999999</v>
      </c>
      <c r="J55" s="103">
        <f t="shared" si="16"/>
        <v>30.128256513026052</v>
      </c>
      <c r="K55" s="103">
        <v>367.55</v>
      </c>
      <c r="L55" s="103">
        <f>F55-K55</f>
        <v>-66.87</v>
      </c>
      <c r="M55" s="108">
        <f t="shared" si="17"/>
        <v>0.818065569310298</v>
      </c>
      <c r="N55" s="104">
        <f>E55-травень!E55</f>
        <v>80</v>
      </c>
      <c r="O55" s="142">
        <f>F55-травень!F55</f>
        <v>10.300000000000011</v>
      </c>
      <c r="P55" s="105">
        <f t="shared" si="14"/>
        <v>-69.69999999999999</v>
      </c>
      <c r="Q55" s="118">
        <f t="shared" si="11"/>
        <v>12.875000000000014</v>
      </c>
      <c r="R55" s="36"/>
      <c r="S55" s="36">
        <f t="shared" si="15"/>
        <v>10.300000000000011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E56-травень!E56</f>
        <v>0</v>
      </c>
      <c r="O56" s="142">
        <f>F56-травень!F56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E57-травень!E57</f>
        <v>0</v>
      </c>
      <c r="O57" s="142">
        <f>F57-травень!F57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44.37</v>
      </c>
      <c r="G58" s="33">
        <f t="shared" si="12"/>
        <v>-45.63</v>
      </c>
      <c r="H58" s="29">
        <f t="shared" si="10"/>
        <v>49.3</v>
      </c>
      <c r="I58" s="103">
        <f t="shared" si="13"/>
        <v>-155.63</v>
      </c>
      <c r="J58" s="103">
        <f t="shared" si="16"/>
        <v>22.185</v>
      </c>
      <c r="K58" s="103">
        <v>2205.67</v>
      </c>
      <c r="L58" s="103">
        <f>F58-K58</f>
        <v>-2161.3</v>
      </c>
      <c r="M58" s="108">
        <f t="shared" si="17"/>
        <v>0.020116336532663544</v>
      </c>
      <c r="N58" s="104">
        <f>E58-травень!E58</f>
        <v>15</v>
      </c>
      <c r="O58" s="142">
        <f>F58-травень!F58</f>
        <v>1.3699999999999974</v>
      </c>
      <c r="P58" s="105">
        <f t="shared" si="14"/>
        <v>-13.630000000000003</v>
      </c>
      <c r="Q58" s="118">
        <f t="shared" si="11"/>
        <v>9.133333333333317</v>
      </c>
      <c r="R58" s="36"/>
      <c r="S58" s="36">
        <f t="shared" si="15"/>
        <v>1.3699999999999974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E59-травень!E59</f>
        <v>0</v>
      </c>
      <c r="O59" s="166">
        <f>F59-травень!F59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4095.77</v>
      </c>
      <c r="G60" s="160">
        <f t="shared" si="12"/>
        <v>-764.23</v>
      </c>
      <c r="H60" s="162">
        <f t="shared" si="10"/>
        <v>84.27510288065844</v>
      </c>
      <c r="I60" s="163">
        <f t="shared" si="13"/>
        <v>-3254.23</v>
      </c>
      <c r="J60" s="163">
        <f t="shared" si="16"/>
        <v>55.7247619047619</v>
      </c>
      <c r="K60" s="163">
        <v>2320.11</v>
      </c>
      <c r="L60" s="163">
        <f aca="true" t="shared" si="18" ref="L60:L66">F60-K60</f>
        <v>1775.6599999999999</v>
      </c>
      <c r="M60" s="216">
        <f t="shared" si="17"/>
        <v>1.7653344022481692</v>
      </c>
      <c r="N60" s="162">
        <f>E60-травень!E60</f>
        <v>600</v>
      </c>
      <c r="O60" s="166">
        <f>F60-травень!F60</f>
        <v>58.63000000000011</v>
      </c>
      <c r="P60" s="165">
        <f t="shared" si="14"/>
        <v>-541.3699999999999</v>
      </c>
      <c r="Q60" s="163">
        <f t="shared" si="11"/>
        <v>9.771666666666686</v>
      </c>
      <c r="R60" s="36">
        <v>450</v>
      </c>
      <c r="S60" s="36">
        <f t="shared" si="15"/>
        <v>-391.3699999999999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932.48</v>
      </c>
      <c r="G62" s="160"/>
      <c r="H62" s="162"/>
      <c r="I62" s="163"/>
      <c r="J62" s="163"/>
      <c r="K62" s="164">
        <v>478.67</v>
      </c>
      <c r="L62" s="163">
        <f t="shared" si="18"/>
        <v>453.81</v>
      </c>
      <c r="M62" s="216">
        <f t="shared" si="17"/>
        <v>1.9480644285206927</v>
      </c>
      <c r="N62" s="193"/>
      <c r="O62" s="177">
        <f>F62-травень!F62</f>
        <v>48.889999999999986</v>
      </c>
      <c r="P62" s="164"/>
      <c r="Q62" s="163"/>
      <c r="R62" s="36"/>
      <c r="S62" s="36">
        <f t="shared" si="15"/>
        <v>48.889999999999986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E64-травень!E64</f>
        <v>0</v>
      </c>
      <c r="O64" s="166">
        <f>F64-травень!F64</f>
        <v>0</v>
      </c>
      <c r="P64" s="165">
        <f t="shared" si="14"/>
        <v>0</v>
      </c>
      <c r="Q64" s="163"/>
      <c r="R64" s="36">
        <v>10</v>
      </c>
      <c r="S64" s="36">
        <f t="shared" si="15"/>
        <v>-10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22.35</v>
      </c>
      <c r="G65" s="160">
        <f t="shared" si="12"/>
        <v>14.750000000000002</v>
      </c>
      <c r="H65" s="162">
        <f t="shared" si="10"/>
        <v>294.0789473684211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E65-травень!E65</f>
        <v>1.1999999999999993</v>
      </c>
      <c r="O65" s="166">
        <f>F65-травень!F65</f>
        <v>0</v>
      </c>
      <c r="P65" s="165">
        <f t="shared" si="14"/>
        <v>-1.1999999999999993</v>
      </c>
      <c r="Q65" s="163">
        <f t="shared" si="11"/>
        <v>0</v>
      </c>
      <c r="R65" s="36">
        <v>1.3</v>
      </c>
      <c r="S65" s="36">
        <f t="shared" si="15"/>
        <v>-1.3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E66-травень!E66</f>
        <v>0</v>
      </c>
      <c r="O66" s="166">
        <f>F66-травень!F66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544380.07</v>
      </c>
      <c r="G67" s="149">
        <f>F67-E67</f>
        <v>-94419.22999999998</v>
      </c>
      <c r="H67" s="150">
        <f>F67/E67*100</f>
        <v>85.21926526844973</v>
      </c>
      <c r="I67" s="151">
        <f>F67-D67</f>
        <v>-813111.0300000001</v>
      </c>
      <c r="J67" s="151">
        <f>F67/D67*100</f>
        <v>40.101925530119495</v>
      </c>
      <c r="K67" s="151">
        <v>397849.29</v>
      </c>
      <c r="L67" s="151">
        <f>F67-K67</f>
        <v>146530.77999999997</v>
      </c>
      <c r="M67" s="217">
        <f>F67/K67</f>
        <v>1.3683072552423055</v>
      </c>
      <c r="N67" s="149">
        <f>N8+N41+N65+N66</f>
        <v>109292</v>
      </c>
      <c r="O67" s="149">
        <f>O8+O41+O65+O66</f>
        <v>11911.900000000012</v>
      </c>
      <c r="P67" s="153">
        <f>O67-N67</f>
        <v>-97380.09999999999</v>
      </c>
      <c r="Q67" s="151">
        <f>O67/N67*100</f>
        <v>10.899150898510424</v>
      </c>
      <c r="R67" s="26">
        <f>R8+R41+R65+R66</f>
        <v>109914</v>
      </c>
      <c r="S67" s="277">
        <f>O67-R67</f>
        <v>-98002.09999999999</v>
      </c>
      <c r="T67" s="277"/>
      <c r="U67" s="114">
        <f>O67/34768</f>
        <v>0.3426110216290846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0.13</v>
      </c>
      <c r="G76" s="160">
        <f t="shared" si="19"/>
        <v>-8999.87</v>
      </c>
      <c r="H76" s="162">
        <f>F76/E76*100</f>
        <v>0.0014444444444444444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E76-травень!E76</f>
        <v>4500</v>
      </c>
      <c r="O76" s="166">
        <f>F76-травень!F76</f>
        <v>0</v>
      </c>
      <c r="P76" s="165">
        <f t="shared" si="22"/>
        <v>-4500</v>
      </c>
      <c r="Q76" s="165">
        <f>O76/N76*100</f>
        <v>0</v>
      </c>
      <c r="R76" s="37">
        <v>0</v>
      </c>
      <c r="S76" s="37">
        <f aca="true" t="shared" si="23" ref="S76:S87">O76-R76</f>
        <v>0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316.14</v>
      </c>
      <c r="G77" s="160">
        <f t="shared" si="19"/>
        <v>-15313.86</v>
      </c>
      <c r="H77" s="162">
        <f>F77/E77*100</f>
        <v>2.0226487523992325</v>
      </c>
      <c r="I77" s="165">
        <f t="shared" si="20"/>
        <v>-53683.86</v>
      </c>
      <c r="J77" s="165">
        <f>F77/D77*100</f>
        <v>0.5854444444444444</v>
      </c>
      <c r="K77" s="165">
        <v>869.23</v>
      </c>
      <c r="L77" s="165">
        <f t="shared" si="21"/>
        <v>-553.09</v>
      </c>
      <c r="M77" s="207">
        <f>F77/K77</f>
        <v>0.3637012068152273</v>
      </c>
      <c r="N77" s="162">
        <f>E77-травень!E77</f>
        <v>3600</v>
      </c>
      <c r="O77" s="166">
        <f>F77-травень!F77</f>
        <v>11.240000000000009</v>
      </c>
      <c r="P77" s="165">
        <f t="shared" si="22"/>
        <v>-3588.76</v>
      </c>
      <c r="Q77" s="165">
        <f>O77/N77*100</f>
        <v>0.31222222222222246</v>
      </c>
      <c r="R77" s="37">
        <v>200</v>
      </c>
      <c r="S77" s="37">
        <f t="shared" si="23"/>
        <v>-188.76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5260.16</v>
      </c>
      <c r="G78" s="160">
        <f t="shared" si="19"/>
        <v>-10939.84</v>
      </c>
      <c r="H78" s="162">
        <f>F78/E78*100</f>
        <v>32.47012345679012</v>
      </c>
      <c r="I78" s="165">
        <f t="shared" si="20"/>
        <v>-73739.84</v>
      </c>
      <c r="J78" s="165">
        <f>F78/D78*100</f>
        <v>6.658430379746835</v>
      </c>
      <c r="K78" s="165">
        <v>9113.39</v>
      </c>
      <c r="L78" s="165">
        <f t="shared" si="21"/>
        <v>-3853.2299999999996</v>
      </c>
      <c r="M78" s="207">
        <f>F78/K78</f>
        <v>0.577190266190737</v>
      </c>
      <c r="N78" s="162">
        <f>E78-травень!E78</f>
        <v>3850</v>
      </c>
      <c r="O78" s="166">
        <f>F78-травень!F78</f>
        <v>674.7399999999998</v>
      </c>
      <c r="P78" s="165">
        <f t="shared" si="22"/>
        <v>-3175.26</v>
      </c>
      <c r="Q78" s="165">
        <f>O78/N78*100</f>
        <v>17.52571428571428</v>
      </c>
      <c r="R78" s="37">
        <v>1500</v>
      </c>
      <c r="S78" s="37">
        <f t="shared" si="23"/>
        <v>-825.2600000000002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6</v>
      </c>
      <c r="F79" s="179">
        <v>7</v>
      </c>
      <c r="G79" s="160">
        <f t="shared" si="19"/>
        <v>1</v>
      </c>
      <c r="H79" s="162">
        <f>F79/E79*100</f>
        <v>116.66666666666667</v>
      </c>
      <c r="I79" s="165">
        <f t="shared" si="20"/>
        <v>-5</v>
      </c>
      <c r="J79" s="165">
        <f>F79/D79*100</f>
        <v>58.333333333333336</v>
      </c>
      <c r="K79" s="165">
        <v>5</v>
      </c>
      <c r="L79" s="165">
        <f t="shared" si="21"/>
        <v>2</v>
      </c>
      <c r="M79" s="207"/>
      <c r="N79" s="162">
        <f>E79-травень!E79</f>
        <v>1</v>
      </c>
      <c r="O79" s="166">
        <f>F79-травень!F79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5583.43</v>
      </c>
      <c r="G80" s="183">
        <f t="shared" si="19"/>
        <v>-35252.57</v>
      </c>
      <c r="H80" s="184">
        <f>F80/E80*100</f>
        <v>13.672813204035656</v>
      </c>
      <c r="I80" s="185">
        <f t="shared" si="20"/>
        <v>-231634.6</v>
      </c>
      <c r="J80" s="185">
        <f>F80/D80*100</f>
        <v>2.3537123211081385</v>
      </c>
      <c r="K80" s="185">
        <v>11029.59</v>
      </c>
      <c r="L80" s="185">
        <f t="shared" si="21"/>
        <v>-5446.16</v>
      </c>
      <c r="M80" s="212">
        <f>F80/K80</f>
        <v>0.50622280610612</v>
      </c>
      <c r="N80" s="183">
        <f>N76+N77+N78+N79</f>
        <v>11951</v>
      </c>
      <c r="O80" s="187">
        <f>O76+O77+O78+O79</f>
        <v>686.9799999999998</v>
      </c>
      <c r="P80" s="185">
        <f t="shared" si="22"/>
        <v>-11264.02</v>
      </c>
      <c r="Q80" s="185">
        <f>O80/N80*100</f>
        <v>5.748305581122916</v>
      </c>
      <c r="R80" s="38">
        <f>SUM(R76:R79)</f>
        <v>1701</v>
      </c>
      <c r="S80" s="38">
        <f t="shared" si="23"/>
        <v>-1014.0200000000002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34.1</v>
      </c>
      <c r="G81" s="160">
        <f t="shared" si="19"/>
        <v>30.1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E81-травень!E81</f>
        <v>0.5</v>
      </c>
      <c r="O81" s="166">
        <f>F81-травень!F81</f>
        <v>0</v>
      </c>
      <c r="P81" s="165">
        <f t="shared" si="22"/>
        <v>-0.5</v>
      </c>
      <c r="Q81" s="165"/>
      <c r="R81" s="37">
        <v>1</v>
      </c>
      <c r="S81" s="37">
        <f t="shared" si="23"/>
        <v>-1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5103.22</v>
      </c>
      <c r="G83" s="160">
        <f t="shared" si="19"/>
        <v>596.2200000000003</v>
      </c>
      <c r="H83" s="162">
        <f>F83/E83*100</f>
        <v>113.22875526958065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E83-травень!E83</f>
        <v>0.5</v>
      </c>
      <c r="O83" s="166">
        <f>F83-травень!F83</f>
        <v>0</v>
      </c>
      <c r="P83" s="165">
        <f>O83-N83</f>
        <v>-0.5</v>
      </c>
      <c r="Q83" s="188">
        <f>O83/N83*100</f>
        <v>0</v>
      </c>
      <c r="R83" s="40">
        <v>2850</v>
      </c>
      <c r="S83" s="285">
        <f t="shared" si="23"/>
        <v>-2850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E84-травень!E84</f>
        <v>0</v>
      </c>
      <c r="O84" s="166">
        <f>F84-травень!F84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5137.37</v>
      </c>
      <c r="G85" s="181">
        <f>G81+G84+G82+G83</f>
        <v>626.3700000000002</v>
      </c>
      <c r="H85" s="184">
        <f>F85/E85*100</f>
        <v>113.88539126579471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1</v>
      </c>
      <c r="O85" s="187">
        <f>O81+O84+O82+O83</f>
        <v>0</v>
      </c>
      <c r="P85" s="183">
        <f>P81+P84+P82+P83</f>
        <v>-1</v>
      </c>
      <c r="Q85" s="185">
        <f>O85/N85*100</f>
        <v>0</v>
      </c>
      <c r="R85" s="38">
        <f>SUM(R81:R84)</f>
        <v>2851</v>
      </c>
      <c r="S85" s="38">
        <f t="shared" si="23"/>
        <v>-2851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 t="shared" si="19"/>
        <v>-15.56</v>
      </c>
      <c r="H86" s="162">
        <f>F86/E86*100</f>
        <v>33.21888412017167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E86-травень!E86</f>
        <v>8</v>
      </c>
      <c r="O86" s="166">
        <f>F86-травень!F86</f>
        <v>0</v>
      </c>
      <c r="P86" s="165">
        <f t="shared" si="22"/>
        <v>-8</v>
      </c>
      <c r="Q86" s="165">
        <f>O86/N86</f>
        <v>0</v>
      </c>
      <c r="R86" s="37">
        <v>1.2</v>
      </c>
      <c r="S86" s="37">
        <f t="shared" si="23"/>
        <v>-1.2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10761.48</v>
      </c>
      <c r="G88" s="190">
        <f>F88-E88</f>
        <v>-34608.82000000001</v>
      </c>
      <c r="H88" s="191">
        <f>F88/E88*100</f>
        <v>23.7192171971532</v>
      </c>
      <c r="I88" s="192">
        <f>F88-D88</f>
        <v>-234894.55</v>
      </c>
      <c r="J88" s="192">
        <f>F88/D88*100</f>
        <v>4.380710703498709</v>
      </c>
      <c r="K88" s="192">
        <v>15931.38</v>
      </c>
      <c r="L88" s="192">
        <f>F88-K88</f>
        <v>-5169.9</v>
      </c>
      <c r="M88" s="219">
        <f t="shared" si="24"/>
        <v>0.6754895056172159</v>
      </c>
      <c r="N88" s="189">
        <f>N74+N75+N80+N85+N86</f>
        <v>11960</v>
      </c>
      <c r="O88" s="189">
        <f>O74+O75+O80+O85+O86</f>
        <v>686.9799999999998</v>
      </c>
      <c r="P88" s="192">
        <f t="shared" si="22"/>
        <v>-11273.02</v>
      </c>
      <c r="Q88" s="192">
        <f>O88/N88*100</f>
        <v>5.743979933110365</v>
      </c>
      <c r="R88" s="26">
        <f>R80+R85+R86+R87</f>
        <v>4553.2</v>
      </c>
      <c r="S88" s="26">
        <f>S80+S85+S86+S87</f>
        <v>-3866.2200000000003</v>
      </c>
      <c r="T88" s="26"/>
      <c r="U88" s="94">
        <f>O88/8104.96</f>
        <v>0.08476044298799745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555141.5499999999</v>
      </c>
      <c r="G89" s="190">
        <f>F89-E89</f>
        <v>-129028.05000000005</v>
      </c>
      <c r="H89" s="191">
        <f>F89/E89*100</f>
        <v>81.14092616801447</v>
      </c>
      <c r="I89" s="192">
        <f>F89-D89</f>
        <v>-1048005.5800000002</v>
      </c>
      <c r="J89" s="192">
        <f>F89/D89*100</f>
        <v>34.62823465242394</v>
      </c>
      <c r="K89" s="192">
        <f>K67+K88</f>
        <v>413780.67</v>
      </c>
      <c r="L89" s="192">
        <f>F89-K89</f>
        <v>141360.87999999995</v>
      </c>
      <c r="M89" s="219">
        <f t="shared" si="24"/>
        <v>1.3416323918659612</v>
      </c>
      <c r="N89" s="190">
        <f>N67+N88</f>
        <v>121252</v>
      </c>
      <c r="O89" s="190">
        <f>O67+O88</f>
        <v>12598.880000000012</v>
      </c>
      <c r="P89" s="192">
        <f t="shared" si="22"/>
        <v>-108653.12</v>
      </c>
      <c r="Q89" s="192">
        <f>O89/N89*100</f>
        <v>10.390657473691165</v>
      </c>
      <c r="R89" s="26">
        <f>R67+R88</f>
        <v>114467.2</v>
      </c>
      <c r="S89" s="26">
        <f>S67+S88</f>
        <v>-101868.31999999999</v>
      </c>
      <c r="T89" s="26"/>
      <c r="U89" s="94">
        <f>O89/42872.96</f>
        <v>0.29386541073907685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18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5410.0055555555555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42892</v>
      </c>
      <c r="D93" s="28">
        <v>3810.5</v>
      </c>
      <c r="G93" s="4" t="s">
        <v>58</v>
      </c>
      <c r="O93" s="318"/>
      <c r="P93" s="318"/>
    </row>
    <row r="94" spans="3:16" ht="15">
      <c r="C94" s="80">
        <v>42888</v>
      </c>
      <c r="D94" s="28">
        <v>3334.1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42887</v>
      </c>
      <c r="D95" s="28">
        <v>4767.3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1.0026599999999999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 hidden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758.0400000000001</v>
      </c>
      <c r="G100" s="67">
        <f>G48+G51+G52</f>
        <v>137.04000000000002</v>
      </c>
      <c r="H100" s="68"/>
      <c r="I100" s="68"/>
      <c r="N100" s="28">
        <f>N48+N51+N52</f>
        <v>89</v>
      </c>
      <c r="O100" s="200">
        <f>O48+O51+O52</f>
        <v>24.240000000000038</v>
      </c>
      <c r="P100" s="28">
        <f>P48+P51+P52</f>
        <v>-64.75999999999996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515958.61000000004</v>
      </c>
      <c r="G102" s="28">
        <f>F102-E102</f>
        <v>-93187.08999999991</v>
      </c>
      <c r="H102" s="228">
        <f>F102/E102</f>
        <v>0.8470200314965698</v>
      </c>
      <c r="I102" s="28">
        <f>F102-D102</f>
        <v>-783089.99</v>
      </c>
      <c r="J102" s="228">
        <f>F102/D102</f>
        <v>0.39718191451805573</v>
      </c>
      <c r="N102" s="28">
        <f>N9+N15+N17+N18+N19+N23+N42+N45+N65+N59</f>
        <v>104173.2</v>
      </c>
      <c r="O102" s="227">
        <f>O9+O15+O17+O18+O19+O23+O42+O45+O65+O59</f>
        <v>8631.950000000012</v>
      </c>
      <c r="P102" s="28">
        <f>O102-N102</f>
        <v>-95541.24999999999</v>
      </c>
      <c r="Q102" s="228">
        <f>O102/N102</f>
        <v>0.08286152292528225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28420.62</v>
      </c>
      <c r="G103" s="28">
        <f>G43+G44+G46+G48+G50+G51+G52+G53+G54+G60+G64+G47</f>
        <v>-1227.73</v>
      </c>
      <c r="H103" s="228">
        <f>F103/E103</f>
        <v>0.9584205627647233</v>
      </c>
      <c r="I103" s="28">
        <f>I43+I44+I46+I48+I50+I51+I52+I53+I54+I60+I64+I47</f>
        <v>-30016.630000000005</v>
      </c>
      <c r="J103" s="228">
        <f>F103/D103</f>
        <v>0.4863005518244428</v>
      </c>
      <c r="K103" s="28">
        <f aca="true" t="shared" si="25" ref="K103:P103">K43+K44+K46+K48+K50+K51+K52+K53+K54+K60+K64+K47</f>
        <v>22597.689999999995</v>
      </c>
      <c r="L103" s="28">
        <f t="shared" si="25"/>
        <v>5828.180000000001</v>
      </c>
      <c r="M103" s="28">
        <f t="shared" si="25"/>
        <v>17.993132408639823</v>
      </c>
      <c r="N103" s="28">
        <f>N43+N44+N46+N48+N50+N51+N52+N53+N54+N60+N64+N47+N66</f>
        <v>5118.8</v>
      </c>
      <c r="O103" s="227">
        <f>O43+O44+O46+O48+O50+O51+O52+O53+O54+O60+O64+O47+O66</f>
        <v>3279.95</v>
      </c>
      <c r="P103" s="28">
        <f t="shared" si="25"/>
        <v>-1838.8500000000006</v>
      </c>
      <c r="Q103" s="228">
        <f>O103/N103</f>
        <v>0.640765413768852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638799.2999999999</v>
      </c>
      <c r="F104" s="227">
        <f t="shared" si="26"/>
        <v>544379.2300000001</v>
      </c>
      <c r="G104" s="28">
        <f t="shared" si="26"/>
        <v>-94414.8199999999</v>
      </c>
      <c r="H104" s="228">
        <f>F104/E104</f>
        <v>0.8521913377174962</v>
      </c>
      <c r="I104" s="28">
        <f t="shared" si="26"/>
        <v>-813106.62</v>
      </c>
      <c r="J104" s="228">
        <f>F104/D104</f>
        <v>0.4010186365126078</v>
      </c>
      <c r="K104" s="28">
        <f t="shared" si="26"/>
        <v>22597.689999999995</v>
      </c>
      <c r="L104" s="28">
        <f t="shared" si="26"/>
        <v>5828.180000000001</v>
      </c>
      <c r="M104" s="28">
        <f t="shared" si="26"/>
        <v>17.993132408639823</v>
      </c>
      <c r="N104" s="28">
        <f t="shared" si="26"/>
        <v>109292</v>
      </c>
      <c r="O104" s="227">
        <f t="shared" si="26"/>
        <v>11911.900000000012</v>
      </c>
      <c r="P104" s="28">
        <f t="shared" si="26"/>
        <v>-97380.09999999999</v>
      </c>
      <c r="Q104" s="228">
        <f>O104/N104</f>
        <v>0.10899150898510424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0.8399999998509884</v>
      </c>
      <c r="G105" s="28">
        <f t="shared" si="27"/>
        <v>-4.410000000076252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140702.59999999998</v>
      </c>
      <c r="M105" s="28">
        <f t="shared" si="27"/>
        <v>-16.624825153397516</v>
      </c>
      <c r="N105" s="28">
        <f t="shared" si="27"/>
        <v>0</v>
      </c>
      <c r="O105" s="28">
        <f t="shared" si="27"/>
        <v>0</v>
      </c>
      <c r="P105" s="28">
        <f t="shared" si="27"/>
        <v>0</v>
      </c>
      <c r="Q105" s="28"/>
      <c r="R105" s="28">
        <f t="shared" si="27"/>
        <v>109914</v>
      </c>
      <c r="S105" s="28"/>
      <c r="T105" s="28"/>
      <c r="U105" s="28">
        <f t="shared" si="27"/>
        <v>0.3426110216290846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31015.8</v>
      </c>
      <c r="G111" s="190">
        <f>F111-E111</f>
        <v>-32456.56</v>
      </c>
      <c r="H111" s="191">
        <f>F111/E111*100</f>
        <v>48.8650492907464</v>
      </c>
      <c r="I111" s="192">
        <f>F111-D111</f>
        <v>-287048.45</v>
      </c>
      <c r="J111" s="192">
        <f>F111/D111*100</f>
        <v>9.751426009053201</v>
      </c>
      <c r="K111" s="192">
        <v>3039.87</v>
      </c>
      <c r="L111" s="192">
        <f>F111-K111</f>
        <v>27975.93</v>
      </c>
      <c r="M111" s="266">
        <f>F111/K111</f>
        <v>10.203002102063575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575395.87</v>
      </c>
      <c r="G112" s="190">
        <f>F112-E112</f>
        <v>-126875.78999999992</v>
      </c>
      <c r="H112" s="191">
        <f>F112/E112*100</f>
        <v>81.93351700964269</v>
      </c>
      <c r="I112" s="192">
        <f>F112-D112</f>
        <v>-1100159.48</v>
      </c>
      <c r="J112" s="192">
        <f>F112/D112*100</f>
        <v>34.340606533827724</v>
      </c>
      <c r="K112" s="192">
        <f>K89+K111</f>
        <v>416820.54</v>
      </c>
      <c r="L112" s="192">
        <f>F112-K112</f>
        <v>158575.33000000002</v>
      </c>
      <c r="M112" s="266">
        <f>F112/K112</f>
        <v>1.3804402969201086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1121224.95</v>
      </c>
      <c r="G124" s="275">
        <f t="shared" si="29"/>
        <v>-131702.30999999982</v>
      </c>
      <c r="H124" s="274">
        <f t="shared" si="31"/>
        <v>89.48843127573105</v>
      </c>
      <c r="I124" s="276">
        <f t="shared" si="30"/>
        <v>-1777199.09</v>
      </c>
      <c r="J124" s="276">
        <f t="shared" si="32"/>
        <v>38.6839515035212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31496062992125984" right="0.11811023622047245" top="0.1968503937007874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3" sqref="B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8" t="s">
        <v>194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5"/>
      <c r="T1" s="85"/>
      <c r="U1" s="86"/>
    </row>
    <row r="2" spans="2:21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188</v>
      </c>
      <c r="O3" s="301" t="s">
        <v>189</v>
      </c>
      <c r="P3" s="301"/>
      <c r="Q3" s="301"/>
      <c r="R3" s="301"/>
      <c r="S3" s="301"/>
      <c r="T3" s="301"/>
      <c r="U3" s="301"/>
    </row>
    <row r="4" spans="1:21" ht="22.5" customHeight="1">
      <c r="A4" s="290"/>
      <c r="B4" s="292"/>
      <c r="C4" s="293"/>
      <c r="D4" s="294"/>
      <c r="E4" s="302" t="s">
        <v>185</v>
      </c>
      <c r="F4" s="304" t="s">
        <v>33</v>
      </c>
      <c r="G4" s="306" t="s">
        <v>186</v>
      </c>
      <c r="H4" s="299" t="s">
        <v>187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195</v>
      </c>
      <c r="P4" s="306" t="s">
        <v>49</v>
      </c>
      <c r="Q4" s="310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191</v>
      </c>
      <c r="L5" s="312"/>
      <c r="M5" s="313"/>
      <c r="N5" s="300"/>
      <c r="O5" s="309"/>
      <c r="P5" s="307"/>
      <c r="Q5" s="310"/>
      <c r="R5" s="314" t="s">
        <v>190</v>
      </c>
      <c r="S5" s="315"/>
      <c r="T5" s="316" t="s">
        <v>181</v>
      </c>
      <c r="U5" s="316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 aca="true" t="shared" si="0" ref="G8:G40">F8-E8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 aca="true" t="shared" si="1" ref="L8:L54">F8-K8</f>
        <v>130101.00000000006</v>
      </c>
      <c r="M8" s="203">
        <f aca="true" t="shared" si="2" ref="M8:M31">F8/K8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 t="shared" si="0"/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 t="shared" si="1"/>
        <v>82530.66</v>
      </c>
      <c r="M9" s="204">
        <f t="shared" si="2"/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99">
        <v>57980</v>
      </c>
      <c r="S9" s="99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 t="shared" si="0"/>
        <v>4419.179999999993</v>
      </c>
      <c r="H10" s="29">
        <f aca="true" t="shared" si="3" ref="H10:H39">F10/E10*100</f>
        <v>101.74560752093538</v>
      </c>
      <c r="I10" s="103">
        <f aca="true" t="shared" si="4" ref="I10:I40">F10-D10</f>
        <v>-443737.82</v>
      </c>
      <c r="J10" s="103">
        <f aca="true" t="shared" si="5" ref="J10:J39">F10/D10*100</f>
        <v>36.72792474729687</v>
      </c>
      <c r="K10" s="105">
        <v>174168.33</v>
      </c>
      <c r="L10" s="105">
        <f t="shared" si="1"/>
        <v>83410.85</v>
      </c>
      <c r="M10" s="205">
        <f t="shared" si="2"/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 aca="true" t="shared" si="6" ref="P10:P40">O10-N10</f>
        <v>189.32000000000698</v>
      </c>
      <c r="Q10" s="103">
        <f aca="true" t="shared" si="7" ref="Q10:Q27">O10/N10*100</f>
        <v>100.35704586602294</v>
      </c>
      <c r="R10" s="36"/>
      <c r="S10" s="99">
        <f aca="true" t="shared" si="8" ref="S10:S35">O10-R10</f>
        <v>53213.32000000001</v>
      </c>
      <c r="T10" s="36"/>
      <c r="U10" s="93"/>
    </row>
    <row r="11" spans="1:21" s="6" customFormat="1" ht="15" customHeight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 t="shared" si="0"/>
        <v>-2540.1000000000004</v>
      </c>
      <c r="H11" s="29">
        <f t="shared" si="3"/>
        <v>86.16503267973856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E11-квітень!E11</f>
        <v>3660</v>
      </c>
      <c r="O11" s="142">
        <f>F11-квітень!F11</f>
        <v>3390.75</v>
      </c>
      <c r="P11" s="105">
        <f t="shared" si="6"/>
        <v>-269.25</v>
      </c>
      <c r="Q11" s="103">
        <f t="shared" si="7"/>
        <v>92.64344262295083</v>
      </c>
      <c r="R11" s="36"/>
      <c r="S11" s="99">
        <f t="shared" si="8"/>
        <v>3390.75</v>
      </c>
      <c r="T11" s="36"/>
      <c r="U11" s="93"/>
    </row>
    <row r="12" spans="1:21" s="6" customFormat="1" ht="15" customHeight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 t="shared" si="0"/>
        <v>802.2600000000002</v>
      </c>
      <c r="H12" s="29">
        <f t="shared" si="3"/>
        <v>127.28775510204082</v>
      </c>
      <c r="I12" s="103">
        <f t="shared" si="4"/>
        <v>-4537.74</v>
      </c>
      <c r="J12" s="103">
        <f t="shared" si="5"/>
        <v>45.196376811594206</v>
      </c>
      <c r="K12" s="105">
        <v>4583.23</v>
      </c>
      <c r="L12" s="105">
        <f t="shared" si="1"/>
        <v>-840.9699999999993</v>
      </c>
      <c r="M12" s="205">
        <f t="shared" si="2"/>
        <v>0.8165114995319895</v>
      </c>
      <c r="N12" s="104">
        <f>E12-квітень!E12</f>
        <v>600</v>
      </c>
      <c r="O12" s="142">
        <f>F12-квітень!F12</f>
        <v>1132.67</v>
      </c>
      <c r="P12" s="105">
        <f t="shared" si="6"/>
        <v>532.6700000000001</v>
      </c>
      <c r="Q12" s="103">
        <f t="shared" si="7"/>
        <v>188.77833333333334</v>
      </c>
      <c r="R12" s="36"/>
      <c r="S12" s="99">
        <f t="shared" si="8"/>
        <v>1132.67</v>
      </c>
      <c r="T12" s="36"/>
      <c r="U12" s="93"/>
    </row>
    <row r="13" spans="1:21" s="6" customFormat="1" ht="15" customHeight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 t="shared" si="0"/>
        <v>-17.409999999999854</v>
      </c>
      <c r="H13" s="29">
        <f t="shared" si="3"/>
        <v>99.55358974358974</v>
      </c>
      <c r="I13" s="103">
        <f t="shared" si="4"/>
        <v>-5507.41</v>
      </c>
      <c r="J13" s="103">
        <f t="shared" si="5"/>
        <v>41.34813631522897</v>
      </c>
      <c r="K13" s="105">
        <v>3763.44</v>
      </c>
      <c r="L13" s="105">
        <f t="shared" si="1"/>
        <v>119.15000000000009</v>
      </c>
      <c r="M13" s="205">
        <f t="shared" si="2"/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 t="shared" si="6"/>
        <v>73.26000000000022</v>
      </c>
      <c r="Q13" s="103">
        <f t="shared" si="7"/>
        <v>112.21000000000004</v>
      </c>
      <c r="R13" s="36"/>
      <c r="S13" s="99">
        <f t="shared" si="8"/>
        <v>673.2600000000002</v>
      </c>
      <c r="T13" s="36"/>
      <c r="U13" s="93"/>
    </row>
    <row r="14" spans="1:21" s="6" customFormat="1" ht="15" customHeight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36">
        <v>150</v>
      </c>
      <c r="S15" s="99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 t="shared" si="0"/>
        <v>-3404.9100000000035</v>
      </c>
      <c r="H19" s="162">
        <f t="shared" si="3"/>
        <v>92.96506198347106</v>
      </c>
      <c r="I19" s="163">
        <f t="shared" si="4"/>
        <v>-85004.91</v>
      </c>
      <c r="J19" s="163">
        <f t="shared" si="5"/>
        <v>34.611607692307686</v>
      </c>
      <c r="K19" s="159">
        <v>35230.56</v>
      </c>
      <c r="L19" s="165">
        <f t="shared" si="1"/>
        <v>9764.529999999999</v>
      </c>
      <c r="M19" s="211">
        <f t="shared" si="2"/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 t="shared" si="6"/>
        <v>-1609.6740000000063</v>
      </c>
      <c r="Q19" s="163">
        <f t="shared" si="7"/>
        <v>84.66977142857137</v>
      </c>
      <c r="R19" s="36">
        <v>9450</v>
      </c>
      <c r="S19" s="99">
        <f t="shared" si="8"/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 t="shared" si="0"/>
        <v>-3521.5099999999984</v>
      </c>
      <c r="H20" s="193">
        <f t="shared" si="3"/>
        <v>88.12306913996628</v>
      </c>
      <c r="I20" s="251">
        <f t="shared" si="4"/>
        <v>-50371.509999999995</v>
      </c>
      <c r="J20" s="251">
        <f t="shared" si="5"/>
        <v>34.15488888888889</v>
      </c>
      <c r="K20" s="252">
        <v>35230.56</v>
      </c>
      <c r="L20" s="164">
        <f t="shared" si="1"/>
        <v>-9102.069999999996</v>
      </c>
      <c r="M20" s="253">
        <f t="shared" si="2"/>
        <v>0.7416427669614108</v>
      </c>
      <c r="N20" s="193">
        <f>E20-квітень!E20</f>
        <v>5750</v>
      </c>
      <c r="O20" s="177">
        <f>F20-квітень!F20</f>
        <v>4148.91</v>
      </c>
      <c r="P20" s="164">
        <f t="shared" si="6"/>
        <v>-1601.0900000000001</v>
      </c>
      <c r="Q20" s="251">
        <f t="shared" si="7"/>
        <v>72.15495652173914</v>
      </c>
      <c r="R20" s="106">
        <v>4450</v>
      </c>
      <c r="S20" s="99">
        <f t="shared" si="8"/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 t="shared" si="0"/>
        <v>143.69000000000005</v>
      </c>
      <c r="H21" s="193"/>
      <c r="I21" s="251">
        <f t="shared" si="4"/>
        <v>-6606.3099999999995</v>
      </c>
      <c r="J21" s="251">
        <f t="shared" si="5"/>
        <v>38.258785046728974</v>
      </c>
      <c r="K21" s="252">
        <v>0</v>
      </c>
      <c r="L21" s="164">
        <f t="shared" si="1"/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 t="shared" si="6"/>
        <v>24.75</v>
      </c>
      <c r="Q21" s="251"/>
      <c r="R21" s="106">
        <v>1000</v>
      </c>
      <c r="S21" s="99">
        <f t="shared" si="8"/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 t="shared" si="0"/>
        <v>-27.079999999999927</v>
      </c>
      <c r="H22" s="193"/>
      <c r="I22" s="251">
        <f t="shared" si="4"/>
        <v>-28027.08</v>
      </c>
      <c r="J22" s="251">
        <f t="shared" si="5"/>
        <v>34.516168224299065</v>
      </c>
      <c r="K22" s="252">
        <v>0</v>
      </c>
      <c r="L22" s="164">
        <f t="shared" si="1"/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 t="shared" si="6"/>
        <v>-33.31999999999971</v>
      </c>
      <c r="Q22" s="251"/>
      <c r="R22" s="106">
        <v>4000</v>
      </c>
      <c r="S22" s="99">
        <f t="shared" si="8"/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 t="shared" si="0"/>
        <v>1253.1800000000221</v>
      </c>
      <c r="H23" s="155">
        <f t="shared" si="3"/>
        <v>100.70780095858521</v>
      </c>
      <c r="I23" s="156">
        <f t="shared" si="4"/>
        <v>-222824.31999999998</v>
      </c>
      <c r="J23" s="156">
        <f t="shared" si="5"/>
        <v>44.45086020719961</v>
      </c>
      <c r="K23" s="156">
        <v>140248.27</v>
      </c>
      <c r="L23" s="159">
        <f t="shared" si="1"/>
        <v>38057.51000000001</v>
      </c>
      <c r="M23" s="207">
        <f t="shared" si="2"/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 t="shared" si="6"/>
        <v>-1079.609999999957</v>
      </c>
      <c r="Q23" s="156">
        <f t="shared" si="7"/>
        <v>97.16459931558128</v>
      </c>
      <c r="R23" s="280">
        <f>R24+R32+R33+R34+R35</f>
        <v>37059</v>
      </c>
      <c r="S23" s="99">
        <f t="shared" si="8"/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 t="shared" si="0"/>
        <v>-975.7699999999895</v>
      </c>
      <c r="H24" s="155">
        <f t="shared" si="3"/>
        <v>98.82022152660146</v>
      </c>
      <c r="I24" s="156">
        <f t="shared" si="4"/>
        <v>-124888.87</v>
      </c>
      <c r="J24" s="156">
        <f t="shared" si="5"/>
        <v>39.55654555926068</v>
      </c>
      <c r="K24" s="156">
        <v>71540.14</v>
      </c>
      <c r="L24" s="159">
        <f t="shared" si="1"/>
        <v>10191.990000000005</v>
      </c>
      <c r="M24" s="207">
        <f t="shared" si="2"/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 t="shared" si="6"/>
        <v>-1308.9599999999919</v>
      </c>
      <c r="Q24" s="156">
        <f t="shared" si="7"/>
        <v>91.48039911221619</v>
      </c>
      <c r="R24" s="106">
        <f>R25+R28+R29</f>
        <v>14352</v>
      </c>
      <c r="S24" s="99">
        <f t="shared" si="8"/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 t="shared" si="0"/>
        <v>551.9400000000005</v>
      </c>
      <c r="H25" s="171">
        <f t="shared" si="3"/>
        <v>105.75891319998749</v>
      </c>
      <c r="I25" s="172">
        <f t="shared" si="4"/>
        <v>-12672.96</v>
      </c>
      <c r="J25" s="172">
        <f t="shared" si="5"/>
        <v>44.43877416809155</v>
      </c>
      <c r="K25" s="173">
        <v>8640.15</v>
      </c>
      <c r="L25" s="164">
        <f t="shared" si="1"/>
        <v>1495.8900000000012</v>
      </c>
      <c r="M25" s="213">
        <f t="shared" si="2"/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 t="shared" si="6"/>
        <v>135.63000000000102</v>
      </c>
      <c r="Q25" s="172">
        <f t="shared" si="7"/>
        <v>153.3766233766237</v>
      </c>
      <c r="R25" s="106">
        <v>347</v>
      </c>
      <c r="S25" s="99">
        <f t="shared" si="8"/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 t="shared" si="0"/>
        <v>-407.73</v>
      </c>
      <c r="H26" s="197">
        <f t="shared" si="3"/>
        <v>32.606611570247935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 t="shared" si="6"/>
        <v>-57.97</v>
      </c>
      <c r="Q26" s="198">
        <f t="shared" si="7"/>
        <v>-5.399999999999998</v>
      </c>
      <c r="R26" s="106"/>
      <c r="S26" s="99">
        <f t="shared" si="8"/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 t="shared" si="0"/>
        <v>959.6700000000001</v>
      </c>
      <c r="H27" s="197">
        <f t="shared" si="3"/>
        <v>110.68781949193126</v>
      </c>
      <c r="I27" s="198">
        <f t="shared" si="4"/>
        <v>-11047.93</v>
      </c>
      <c r="J27" s="198">
        <f t="shared" si="5"/>
        <v>47.35746925433727</v>
      </c>
      <c r="K27" s="198">
        <v>8376.5</v>
      </c>
      <c r="L27" s="198">
        <f t="shared" si="1"/>
        <v>1562.2700000000004</v>
      </c>
      <c r="M27" s="226">
        <f t="shared" si="2"/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 t="shared" si="6"/>
        <v>193.60000000000036</v>
      </c>
      <c r="Q27" s="198">
        <f t="shared" si="7"/>
        <v>197.23756906077347</v>
      </c>
      <c r="R27" s="106"/>
      <c r="S27" s="99">
        <f t="shared" si="8"/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 t="shared" si="0"/>
        <v>-1353.429999999993</v>
      </c>
      <c r="H29" s="171">
        <f t="shared" si="3"/>
        <v>98.1458593054319</v>
      </c>
      <c r="I29" s="172">
        <f t="shared" si="4"/>
        <v>-111350.43</v>
      </c>
      <c r="J29" s="172">
        <f t="shared" si="5"/>
        <v>39.150110387339346</v>
      </c>
      <c r="K29" s="173">
        <v>62479.91</v>
      </c>
      <c r="L29" s="173">
        <f t="shared" si="1"/>
        <v>9161.660000000003</v>
      </c>
      <c r="M29" s="209">
        <f t="shared" si="2"/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 t="shared" si="6"/>
        <v>-1289.5899999999965</v>
      </c>
      <c r="Q29" s="172">
        <f>O29/N29*100</f>
        <v>91.46249586229727</v>
      </c>
      <c r="R29" s="106">
        <v>14000</v>
      </c>
      <c r="S29" s="99">
        <f t="shared" si="8"/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 t="shared" si="0"/>
        <v>2071.2400000000016</v>
      </c>
      <c r="H30" s="197">
        <f t="shared" si="3"/>
        <v>109.380615942029</v>
      </c>
      <c r="I30" s="198">
        <f t="shared" si="4"/>
        <v>-33381.759999999995</v>
      </c>
      <c r="J30" s="198">
        <f t="shared" si="5"/>
        <v>41.97806476283177</v>
      </c>
      <c r="K30" s="198">
        <v>19348.56</v>
      </c>
      <c r="L30" s="198">
        <f t="shared" si="1"/>
        <v>4802.68</v>
      </c>
      <c r="M30" s="226">
        <f t="shared" si="2"/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 t="shared" si="6"/>
        <v>196.71000000000276</v>
      </c>
      <c r="Q30" s="198">
        <f>O30/N30*100</f>
        <v>104.23032258064522</v>
      </c>
      <c r="R30" s="106"/>
      <c r="S30" s="99">
        <f t="shared" si="8"/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 t="shared" si="0"/>
        <v>-3424.6699999999983</v>
      </c>
      <c r="H31" s="197">
        <f t="shared" si="3"/>
        <v>93.27375036826083</v>
      </c>
      <c r="I31" s="198">
        <f t="shared" si="4"/>
        <v>-77968.67</v>
      </c>
      <c r="J31" s="198">
        <f t="shared" si="5"/>
        <v>37.853266804294634</v>
      </c>
      <c r="K31" s="198">
        <v>43131.35</v>
      </c>
      <c r="L31" s="198">
        <f t="shared" si="1"/>
        <v>4358.980000000003</v>
      </c>
      <c r="M31" s="226">
        <f t="shared" si="2"/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 t="shared" si="6"/>
        <v>-1486.2999999999956</v>
      </c>
      <c r="Q31" s="198">
        <f>O31/N31*100</f>
        <v>85.78383548541372</v>
      </c>
      <c r="R31" s="106"/>
      <c r="S31" s="99">
        <f t="shared" si="8"/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 t="shared" si="0"/>
        <v>2219.290000000008</v>
      </c>
      <c r="H35" s="162">
        <f t="shared" si="3"/>
        <v>102.35329359731173</v>
      </c>
      <c r="I35" s="163">
        <f t="shared" si="4"/>
        <v>-97869.11</v>
      </c>
      <c r="J35" s="163">
        <f t="shared" si="5"/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 t="shared" si="6"/>
        <v>217.95000000001164</v>
      </c>
      <c r="Q35" s="163">
        <f>O35/N35*100</f>
        <v>100.96013215859037</v>
      </c>
      <c r="R35" s="106">
        <v>22700</v>
      </c>
      <c r="S35" s="99">
        <f t="shared" si="8"/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 t="shared" si="0"/>
        <v>341.6899999999987</v>
      </c>
      <c r="H37" s="104">
        <f t="shared" si="3"/>
        <v>101.80597251585624</v>
      </c>
      <c r="I37" s="103">
        <f t="shared" si="4"/>
        <v>-21738.31</v>
      </c>
      <c r="J37" s="103">
        <f t="shared" si="5"/>
        <v>46.97973170731707</v>
      </c>
      <c r="K37" s="126">
        <v>17552.06</v>
      </c>
      <c r="L37" s="126">
        <f t="shared" si="1"/>
        <v>1709.6299999999974</v>
      </c>
      <c r="M37" s="214">
        <f t="shared" si="9"/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 t="shared" si="6"/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 t="shared" si="0"/>
        <v>1880.1900000000023</v>
      </c>
      <c r="H38" s="104">
        <f t="shared" si="3"/>
        <v>102.49494426751593</v>
      </c>
      <c r="I38" s="103">
        <f t="shared" si="4"/>
        <v>-76098.91</v>
      </c>
      <c r="J38" s="103">
        <f t="shared" si="5"/>
        <v>50.37214252594413</v>
      </c>
      <c r="K38" s="126">
        <v>51200.46</v>
      </c>
      <c r="L38" s="126">
        <f t="shared" si="1"/>
        <v>26039.730000000003</v>
      </c>
      <c r="M38" s="214">
        <f t="shared" si="9"/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 t="shared" si="6"/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 t="shared" si="1"/>
        <v>4514.689999999995</v>
      </c>
      <c r="M41" s="203">
        <f t="shared" si="9"/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36">
        <v>420</v>
      </c>
      <c r="S42" s="36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 t="shared" si="12"/>
        <v>336.26</v>
      </c>
      <c r="H46" s="162">
        <f t="shared" si="10"/>
        <v>417.2264150943396</v>
      </c>
      <c r="I46" s="163">
        <f t="shared" si="13"/>
        <v>182.26</v>
      </c>
      <c r="J46" s="163">
        <f t="shared" si="16"/>
        <v>170.1</v>
      </c>
      <c r="K46" s="163">
        <v>50.4</v>
      </c>
      <c r="L46" s="163">
        <f t="shared" si="1"/>
        <v>391.86</v>
      </c>
      <c r="M46" s="216">
        <f t="shared" si="17"/>
        <v>8.775</v>
      </c>
      <c r="N46" s="162">
        <f>E46-квітень!E46</f>
        <v>22</v>
      </c>
      <c r="O46" s="166">
        <f>F46-квітень!F46</f>
        <v>47.77699999999999</v>
      </c>
      <c r="P46" s="165">
        <f t="shared" si="14"/>
        <v>25.776999999999987</v>
      </c>
      <c r="Q46" s="163">
        <f t="shared" si="11"/>
        <v>217.16818181818175</v>
      </c>
      <c r="R46" s="36">
        <v>22</v>
      </c>
      <c r="S46" s="36">
        <f t="shared" si="15"/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 t="shared" si="12"/>
        <v>105.13</v>
      </c>
      <c r="H48" s="162">
        <f t="shared" si="10"/>
        <v>126.28250000000001</v>
      </c>
      <c r="I48" s="163">
        <f t="shared" si="13"/>
        <v>-224.87</v>
      </c>
      <c r="J48" s="163">
        <f t="shared" si="16"/>
        <v>69.19589041095891</v>
      </c>
      <c r="K48" s="163">
        <v>76.33</v>
      </c>
      <c r="L48" s="163">
        <f t="shared" si="1"/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 t="shared" si="14"/>
        <v>51.65999999999997</v>
      </c>
      <c r="Q48" s="163">
        <f t="shared" si="11"/>
        <v>186.09999999999997</v>
      </c>
      <c r="R48" s="36">
        <v>60</v>
      </c>
      <c r="S48" s="36">
        <f t="shared" si="15"/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 t="shared" si="12"/>
        <v>1110.2700000000004</v>
      </c>
      <c r="H50" s="162">
        <f t="shared" si="10"/>
        <v>121.60058365758755</v>
      </c>
      <c r="I50" s="163">
        <f t="shared" si="13"/>
        <v>-4749.73</v>
      </c>
      <c r="J50" s="163">
        <f t="shared" si="16"/>
        <v>56.82063636363637</v>
      </c>
      <c r="K50" s="163">
        <v>4057.41</v>
      </c>
      <c r="L50" s="163">
        <f t="shared" si="1"/>
        <v>2192.8600000000006</v>
      </c>
      <c r="M50" s="216">
        <f t="shared" si="17"/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 t="shared" si="14"/>
        <v>668.7600000000002</v>
      </c>
      <c r="Q50" s="163">
        <f t="shared" si="11"/>
        <v>174.3066666666667</v>
      </c>
      <c r="R50" s="36">
        <v>1000</v>
      </c>
      <c r="S50" s="36">
        <f t="shared" si="15"/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 t="shared" si="12"/>
        <v>91.35</v>
      </c>
      <c r="H51" s="162">
        <f t="shared" si="10"/>
        <v>173.07999999999998</v>
      </c>
      <c r="I51" s="163">
        <f t="shared" si="13"/>
        <v>-93.65</v>
      </c>
      <c r="J51" s="163">
        <f t="shared" si="16"/>
        <v>69.79032258064515</v>
      </c>
      <c r="K51" s="163">
        <v>33.93</v>
      </c>
      <c r="L51" s="163">
        <f t="shared" si="1"/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 t="shared" si="14"/>
        <v>15.97999999999999</v>
      </c>
      <c r="Q51" s="163">
        <f t="shared" si="11"/>
        <v>163.91999999999996</v>
      </c>
      <c r="R51" s="36">
        <v>25</v>
      </c>
      <c r="S51" s="36">
        <f t="shared" si="15"/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 t="shared" si="12"/>
        <v>-141.48000000000002</v>
      </c>
      <c r="H54" s="162">
        <f t="shared" si="10"/>
        <v>70.21473684210527</v>
      </c>
      <c r="I54" s="163">
        <f t="shared" si="13"/>
        <v>-866.48</v>
      </c>
      <c r="J54" s="163">
        <f t="shared" si="16"/>
        <v>27.79333333333333</v>
      </c>
      <c r="K54" s="163">
        <v>2573.46</v>
      </c>
      <c r="L54" s="163">
        <f t="shared" si="1"/>
        <v>-2239.94</v>
      </c>
      <c r="M54" s="216">
        <f t="shared" si="17"/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 t="shared" si="14"/>
        <v>-100.74200000000002</v>
      </c>
      <c r="Q54" s="163">
        <f t="shared" si="11"/>
        <v>30.522758620689643</v>
      </c>
      <c r="R54" s="36">
        <v>70</v>
      </c>
      <c r="S54" s="36">
        <f t="shared" si="15"/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 t="shared" si="12"/>
        <v>-109.62</v>
      </c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  </c>
      <c r="K55" s="103">
        <v>367.55</v>
      </c>
      <c r="L55" s="103">
        <f>F55-K55</f>
        <v>-77.17000000000002</v>
      </c>
      <c r="M55" s="108">
        <f t="shared" si="17"/>
        <v>0.7900421711331791</v>
      </c>
      <c r="N55" s="104">
        <f>E55-квітень!E55</f>
        <v>130</v>
      </c>
      <c r="O55" s="142">
        <f>F55-квітень!F55</f>
        <v>35</v>
      </c>
      <c r="P55" s="105">
        <f t="shared" si="14"/>
        <v>-95</v>
      </c>
      <c r="Q55" s="118">
        <f t="shared" si="11"/>
        <v>26.923076923076923</v>
      </c>
      <c r="R55" s="36"/>
      <c r="S55" s="36">
        <f t="shared" si="15"/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 t="shared" si="12"/>
        <v>-32</v>
      </c>
      <c r="H58" s="29">
        <f t="shared" si="10"/>
        <v>57.333333333333336</v>
      </c>
      <c r="I58" s="103">
        <f t="shared" si="13"/>
        <v>-157</v>
      </c>
      <c r="J58" s="103">
        <f t="shared" si="16"/>
        <v>21.5</v>
      </c>
      <c r="K58" s="103">
        <v>2205.67</v>
      </c>
      <c r="L58" s="103">
        <f>F58-K58</f>
        <v>-2162.67</v>
      </c>
      <c r="M58" s="108">
        <f t="shared" si="17"/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 t="shared" si="14"/>
        <v>-5.770000000000003</v>
      </c>
      <c r="Q58" s="118">
        <f t="shared" si="11"/>
        <v>61.53333333333332</v>
      </c>
      <c r="R58" s="36"/>
      <c r="S58" s="36">
        <f t="shared" si="15"/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 t="shared" si="12"/>
        <v>-222.86000000000013</v>
      </c>
      <c r="H60" s="162">
        <f t="shared" si="10"/>
        <v>94.76854460093897</v>
      </c>
      <c r="I60" s="163">
        <f t="shared" si="13"/>
        <v>-3312.86</v>
      </c>
      <c r="J60" s="163">
        <f t="shared" si="16"/>
        <v>54.92707482993197</v>
      </c>
      <c r="K60" s="163">
        <v>2320.11</v>
      </c>
      <c r="L60" s="163">
        <f aca="true" t="shared" si="18" ref="L60:L66">F60-K60</f>
        <v>1717.0299999999997</v>
      </c>
      <c r="M60" s="216">
        <f t="shared" si="17"/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 t="shared" si="14"/>
        <v>-99.07200000000012</v>
      </c>
      <c r="Q60" s="163">
        <f t="shared" si="11"/>
        <v>83.48799999999999</v>
      </c>
      <c r="R60" s="36">
        <v>450</v>
      </c>
      <c r="S60" s="36">
        <f t="shared" si="15"/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 t="shared" si="15"/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 t="shared" si="19"/>
        <v>-7764.58</v>
      </c>
      <c r="H78" s="162">
        <f>F78/E78*100</f>
        <v>37.128906882591096</v>
      </c>
      <c r="I78" s="165">
        <f t="shared" si="20"/>
        <v>-74414.58</v>
      </c>
      <c r="J78" s="165">
        <f>F78/D78*100</f>
        <v>5.804329113924051</v>
      </c>
      <c r="K78" s="165">
        <v>9113.39</v>
      </c>
      <c r="L78" s="165">
        <f t="shared" si="21"/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 t="shared" si="22"/>
        <v>-1086.0299999999997</v>
      </c>
      <c r="Q78" s="165">
        <f>O78/N78*100</f>
        <v>71.79142857142857</v>
      </c>
      <c r="R78" s="37">
        <v>1500</v>
      </c>
      <c r="S78" s="37">
        <f t="shared" si="23"/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 t="shared" si="19"/>
        <v>-23988.55</v>
      </c>
      <c r="H80" s="184">
        <f>F80/E80*100</f>
        <v>16.95153193699152</v>
      </c>
      <c r="I80" s="185">
        <f t="shared" si="20"/>
        <v>-232321.58</v>
      </c>
      <c r="J80" s="185">
        <f>F80/D80*100</f>
        <v>2.064113760661447</v>
      </c>
      <c r="K80" s="185">
        <v>11029.59</v>
      </c>
      <c r="L80" s="185">
        <f t="shared" si="21"/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 t="shared" si="22"/>
        <v>-9184.04</v>
      </c>
      <c r="Q80" s="185">
        <f>O80/N80*100</f>
        <v>23.152539536440468</v>
      </c>
      <c r="R80" s="38">
        <f>SUM(R76:R79)</f>
        <v>1701</v>
      </c>
      <c r="S80" s="38">
        <f t="shared" si="23"/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 t="shared" si="19"/>
        <v>-7.5600000000000005</v>
      </c>
      <c r="H86" s="162">
        <f>F86/E86*100</f>
        <v>50.588235294117645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 t="shared" si="22"/>
        <v>-1.0600000000000005</v>
      </c>
      <c r="Q86" s="165">
        <f>O86/N86</f>
        <v>0.11666666666666704</v>
      </c>
      <c r="R86" s="37">
        <v>1.2</v>
      </c>
      <c r="S86" s="37">
        <f t="shared" si="23"/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 t="shared" si="24"/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 t="shared" si="22"/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 t="shared" si="24"/>
        <v>1.3111841836400915</v>
      </c>
      <c r="N89" s="190">
        <f>N67+N88</f>
        <v>126184.69999999998</v>
      </c>
      <c r="O89" s="190">
        <f>O67+O88</f>
        <v>118367.426</v>
      </c>
      <c r="P89" s="192">
        <f t="shared" si="22"/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18"/>
      <c r="P93" s="318"/>
    </row>
    <row r="94" spans="3:16" ht="15">
      <c r="C94" s="80">
        <v>42885</v>
      </c>
      <c r="D94" s="28">
        <v>10664.9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42884</v>
      </c>
      <c r="D95" s="28">
        <v>6919.44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1135.71022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 hidden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 aca="true" t="shared" si="25" ref="K103:P103">K43+K44+K46+K48+K50+K51+K52+K53+K54+K60+K64+K47</f>
        <v>22597.689999999995</v>
      </c>
      <c r="L103" s="28">
        <f t="shared" si="25"/>
        <v>2548.230000000001</v>
      </c>
      <c r="M103" s="28">
        <f t="shared" si="25"/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 t="shared" si="25"/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532467.3300000001</v>
      </c>
      <c r="G104" s="28">
        <f t="shared" si="26"/>
        <v>2965.280000000091</v>
      </c>
      <c r="H104" s="228">
        <f>F104/E104</f>
        <v>1.0055901590025293</v>
      </c>
      <c r="I104" s="28">
        <f t="shared" si="26"/>
        <v>-825018.5199999999</v>
      </c>
      <c r="J104" s="228">
        <f>F104/D104</f>
        <v>0.3922436986879693</v>
      </c>
      <c r="K104" s="28">
        <f t="shared" si="26"/>
        <v>22597.689999999995</v>
      </c>
      <c r="L104" s="28">
        <f t="shared" si="26"/>
        <v>2548.230000000001</v>
      </c>
      <c r="M104" s="28">
        <f t="shared" si="26"/>
        <v>17.713084682263524</v>
      </c>
      <c r="N104" s="28">
        <f t="shared" si="26"/>
        <v>112090.19999999998</v>
      </c>
      <c r="O104" s="227">
        <f t="shared" si="26"/>
        <v>112706.06600000002</v>
      </c>
      <c r="P104" s="28">
        <f t="shared" si="26"/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-4.410000000095806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132070.65000000005</v>
      </c>
      <c r="M105" s="28">
        <f t="shared" si="27"/>
        <v>-16.37471816161446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0.3499999999855845</v>
      </c>
      <c r="Q105" s="28"/>
      <c r="R105" s="28">
        <f t="shared" si="27"/>
        <v>109914</v>
      </c>
      <c r="S105" s="28"/>
      <c r="T105" s="28"/>
      <c r="U105" s="28">
        <f t="shared" si="27"/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 t="shared" si="29"/>
        <v>-23049.190000000177</v>
      </c>
      <c r="H124" s="274">
        <f t="shared" si="31"/>
        <v>97.96326819055847</v>
      </c>
      <c r="I124" s="276">
        <f t="shared" si="30"/>
        <v>-1789797.9700000002</v>
      </c>
      <c r="J124" s="276">
        <f t="shared" si="32"/>
        <v>38.24927114529452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8" t="s">
        <v>183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5"/>
      <c r="T1" s="85"/>
      <c r="U1" s="86"/>
    </row>
    <row r="2" spans="2:21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178</v>
      </c>
      <c r="O3" s="301" t="s">
        <v>177</v>
      </c>
      <c r="P3" s="301"/>
      <c r="Q3" s="301"/>
      <c r="R3" s="301"/>
      <c r="S3" s="301"/>
      <c r="T3" s="301"/>
      <c r="U3" s="301"/>
    </row>
    <row r="4" spans="1:21" ht="22.5" customHeight="1">
      <c r="A4" s="290"/>
      <c r="B4" s="292"/>
      <c r="C4" s="293"/>
      <c r="D4" s="294"/>
      <c r="E4" s="302" t="s">
        <v>174</v>
      </c>
      <c r="F4" s="304" t="s">
        <v>33</v>
      </c>
      <c r="G4" s="306" t="s">
        <v>175</v>
      </c>
      <c r="H4" s="299" t="s">
        <v>176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184</v>
      </c>
      <c r="P4" s="306" t="s">
        <v>49</v>
      </c>
      <c r="Q4" s="310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179</v>
      </c>
      <c r="L5" s="312"/>
      <c r="M5" s="313"/>
      <c r="N5" s="300"/>
      <c r="O5" s="309"/>
      <c r="P5" s="307"/>
      <c r="Q5" s="310"/>
      <c r="R5" s="314" t="s">
        <v>180</v>
      </c>
      <c r="S5" s="315"/>
      <c r="T5" s="316" t="s">
        <v>181</v>
      </c>
      <c r="U5" s="316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18"/>
      <c r="P93" s="318"/>
    </row>
    <row r="94" spans="3:16" ht="15">
      <c r="C94" s="80">
        <v>42852</v>
      </c>
      <c r="D94" s="28">
        <v>13266.8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42851</v>
      </c>
      <c r="D95" s="28">
        <v>6064.2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102.57358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 hidden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288" t="s">
        <v>172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6"/>
      <c r="T1" s="243"/>
      <c r="U1" s="246"/>
      <c r="V1" s="256"/>
      <c r="W1" s="256"/>
    </row>
    <row r="2" spans="2:23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150</v>
      </c>
      <c r="O3" s="301" t="s">
        <v>151</v>
      </c>
      <c r="P3" s="301"/>
      <c r="Q3" s="301"/>
      <c r="R3" s="301"/>
      <c r="S3" s="301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290"/>
      <c r="B4" s="292"/>
      <c r="C4" s="293"/>
      <c r="D4" s="294"/>
      <c r="E4" s="302" t="s">
        <v>140</v>
      </c>
      <c r="F4" s="304" t="s">
        <v>33</v>
      </c>
      <c r="G4" s="306" t="s">
        <v>149</v>
      </c>
      <c r="H4" s="299" t="s">
        <v>163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173</v>
      </c>
      <c r="P4" s="306" t="s">
        <v>49</v>
      </c>
      <c r="Q4" s="310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156</v>
      </c>
      <c r="L5" s="312"/>
      <c r="M5" s="313"/>
      <c r="N5" s="300"/>
      <c r="O5" s="309"/>
      <c r="P5" s="307"/>
      <c r="Q5" s="310"/>
      <c r="R5" s="311" t="s">
        <v>102</v>
      </c>
      <c r="S5" s="313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18"/>
      <c r="P93" s="318"/>
    </row>
    <row r="94" spans="3:16" ht="15">
      <c r="C94" s="80">
        <v>42824</v>
      </c>
      <c r="D94" s="28">
        <v>11112.7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42823</v>
      </c>
      <c r="D95" s="28">
        <v>8830.3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1399.2856000000002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2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88" t="s">
        <v>138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6"/>
    </row>
    <row r="2" spans="2:19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131</v>
      </c>
      <c r="O3" s="301" t="s">
        <v>135</v>
      </c>
      <c r="P3" s="301"/>
      <c r="Q3" s="301"/>
      <c r="R3" s="301"/>
      <c r="S3" s="301"/>
    </row>
    <row r="4" spans="1:19" ht="22.5" customHeight="1">
      <c r="A4" s="290"/>
      <c r="B4" s="292"/>
      <c r="C4" s="293"/>
      <c r="D4" s="294"/>
      <c r="E4" s="302" t="s">
        <v>136</v>
      </c>
      <c r="F4" s="304" t="s">
        <v>33</v>
      </c>
      <c r="G4" s="306" t="s">
        <v>132</v>
      </c>
      <c r="H4" s="299" t="s">
        <v>133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139</v>
      </c>
      <c r="P4" s="306" t="s">
        <v>49</v>
      </c>
      <c r="Q4" s="310" t="s">
        <v>48</v>
      </c>
      <c r="R4" s="90" t="s">
        <v>64</v>
      </c>
      <c r="S4" s="91" t="s">
        <v>63</v>
      </c>
    </row>
    <row r="5" spans="1:19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134</v>
      </c>
      <c r="L5" s="312"/>
      <c r="M5" s="313"/>
      <c r="N5" s="300"/>
      <c r="O5" s="309"/>
      <c r="P5" s="307"/>
      <c r="Q5" s="310"/>
      <c r="R5" s="311" t="s">
        <v>102</v>
      </c>
      <c r="S5" s="31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17"/>
      <c r="H89" s="317"/>
      <c r="I89" s="317"/>
      <c r="J89" s="317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18"/>
      <c r="P90" s="318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19"/>
      <c r="H91" s="319"/>
      <c r="I91" s="117"/>
      <c r="J91" s="320"/>
      <c r="K91" s="320"/>
      <c r="L91" s="320"/>
      <c r="M91" s="320"/>
      <c r="N91" s="320"/>
      <c r="O91" s="318"/>
      <c r="P91" s="318"/>
    </row>
    <row r="92" spans="3:16" ht="15.75" customHeight="1">
      <c r="C92" s="80">
        <v>42790</v>
      </c>
      <c r="D92" s="28">
        <v>4206.9</v>
      </c>
      <c r="F92" s="67"/>
      <c r="G92" s="319"/>
      <c r="H92" s="319"/>
      <c r="I92" s="117"/>
      <c r="J92" s="321"/>
      <c r="K92" s="321"/>
      <c r="L92" s="321"/>
      <c r="M92" s="321"/>
      <c r="N92" s="321"/>
      <c r="O92" s="318"/>
      <c r="P92" s="318"/>
    </row>
    <row r="93" spans="3:14" ht="15.75" customHeight="1">
      <c r="C93" s="80"/>
      <c r="F93" s="67"/>
      <c r="G93" s="325"/>
      <c r="H93" s="325"/>
      <c r="I93" s="123"/>
      <c r="J93" s="320"/>
      <c r="K93" s="320"/>
      <c r="L93" s="320"/>
      <c r="M93" s="320"/>
      <c r="N93" s="320"/>
    </row>
    <row r="94" spans="2:14" ht="18.75" customHeight="1">
      <c r="B94" s="326" t="s">
        <v>56</v>
      </c>
      <c r="C94" s="327"/>
      <c r="D94" s="132">
        <v>7713.34596</v>
      </c>
      <c r="E94" s="68"/>
      <c r="F94" s="124" t="s">
        <v>105</v>
      </c>
      <c r="G94" s="319"/>
      <c r="H94" s="319"/>
      <c r="I94" s="125"/>
      <c r="J94" s="320"/>
      <c r="K94" s="320"/>
      <c r="L94" s="320"/>
      <c r="M94" s="320"/>
      <c r="N94" s="320"/>
    </row>
    <row r="95" spans="6:13" ht="9.75" customHeight="1">
      <c r="F95" s="67"/>
      <c r="G95" s="319"/>
      <c r="H95" s="319"/>
      <c r="I95" s="67"/>
      <c r="J95" s="68"/>
      <c r="K95" s="68"/>
      <c r="L95" s="68"/>
      <c r="M95" s="68"/>
    </row>
    <row r="96" spans="2:13" ht="22.5" customHeight="1" hidden="1">
      <c r="B96" s="322" t="s">
        <v>59</v>
      </c>
      <c r="C96" s="323"/>
      <c r="D96" s="79">
        <v>0</v>
      </c>
      <c r="E96" s="50" t="s">
        <v>24</v>
      </c>
      <c r="F96" s="67"/>
      <c r="G96" s="319"/>
      <c r="H96" s="31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24"/>
      <c r="P98" s="324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88" t="s">
        <v>130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6"/>
    </row>
    <row r="2" spans="2:19" s="1" customFormat="1" ht="15.75" customHeight="1">
      <c r="B2" s="289"/>
      <c r="C2" s="289"/>
      <c r="D2" s="289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0"/>
      <c r="B3" s="292"/>
      <c r="C3" s="293" t="s">
        <v>0</v>
      </c>
      <c r="D3" s="294" t="s">
        <v>121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119</v>
      </c>
      <c r="O3" s="301" t="s">
        <v>115</v>
      </c>
      <c r="P3" s="301"/>
      <c r="Q3" s="301"/>
      <c r="R3" s="301"/>
      <c r="S3" s="301"/>
    </row>
    <row r="4" spans="1:19" ht="22.5" customHeight="1">
      <c r="A4" s="290"/>
      <c r="B4" s="292"/>
      <c r="C4" s="293"/>
      <c r="D4" s="294"/>
      <c r="E4" s="302" t="s">
        <v>122</v>
      </c>
      <c r="F4" s="304" t="s">
        <v>33</v>
      </c>
      <c r="G4" s="306" t="s">
        <v>123</v>
      </c>
      <c r="H4" s="299" t="s">
        <v>124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120</v>
      </c>
      <c r="P4" s="306" t="s">
        <v>49</v>
      </c>
      <c r="Q4" s="310" t="s">
        <v>48</v>
      </c>
      <c r="R4" s="90" t="s">
        <v>64</v>
      </c>
      <c r="S4" s="91" t="s">
        <v>63</v>
      </c>
    </row>
    <row r="5" spans="1:19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129</v>
      </c>
      <c r="L5" s="312"/>
      <c r="M5" s="313"/>
      <c r="N5" s="300"/>
      <c r="O5" s="309"/>
      <c r="P5" s="307"/>
      <c r="Q5" s="310"/>
      <c r="R5" s="311" t="s">
        <v>102</v>
      </c>
      <c r="S5" s="31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17"/>
      <c r="H89" s="317"/>
      <c r="I89" s="317"/>
      <c r="J89" s="317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18"/>
      <c r="P90" s="318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19"/>
      <c r="H91" s="319"/>
      <c r="I91" s="117"/>
      <c r="J91" s="320"/>
      <c r="K91" s="320"/>
      <c r="L91" s="320"/>
      <c r="M91" s="320"/>
      <c r="N91" s="320"/>
      <c r="O91" s="318"/>
      <c r="P91" s="318"/>
    </row>
    <row r="92" spans="3:16" ht="15.75" customHeight="1">
      <c r="C92" s="80">
        <v>42762</v>
      </c>
      <c r="D92" s="28">
        <v>8862.4</v>
      </c>
      <c r="F92" s="67"/>
      <c r="G92" s="319"/>
      <c r="H92" s="319"/>
      <c r="I92" s="117"/>
      <c r="J92" s="321"/>
      <c r="K92" s="321"/>
      <c r="L92" s="321"/>
      <c r="M92" s="321"/>
      <c r="N92" s="321"/>
      <c r="O92" s="318"/>
      <c r="P92" s="318"/>
    </row>
    <row r="93" spans="3:14" ht="15.75" customHeight="1">
      <c r="C93" s="80"/>
      <c r="F93" s="67"/>
      <c r="G93" s="325"/>
      <c r="H93" s="325"/>
      <c r="I93" s="123"/>
      <c r="J93" s="320"/>
      <c r="K93" s="320"/>
      <c r="L93" s="320"/>
      <c r="M93" s="320"/>
      <c r="N93" s="320"/>
    </row>
    <row r="94" spans="2:14" ht="18.75" customHeight="1">
      <c r="B94" s="326" t="s">
        <v>56</v>
      </c>
      <c r="C94" s="327"/>
      <c r="D94" s="132">
        <f>9505303.41/1000</f>
        <v>9505.30341</v>
      </c>
      <c r="E94" s="68"/>
      <c r="F94" s="124" t="s">
        <v>105</v>
      </c>
      <c r="G94" s="319"/>
      <c r="H94" s="319"/>
      <c r="I94" s="125"/>
      <c r="J94" s="320"/>
      <c r="K94" s="320"/>
      <c r="L94" s="320"/>
      <c r="M94" s="320"/>
      <c r="N94" s="320"/>
    </row>
    <row r="95" spans="6:13" ht="9.75" customHeight="1">
      <c r="F95" s="67"/>
      <c r="G95" s="319"/>
      <c r="H95" s="319"/>
      <c r="I95" s="67"/>
      <c r="J95" s="68"/>
      <c r="K95" s="68"/>
      <c r="L95" s="68"/>
      <c r="M95" s="68"/>
    </row>
    <row r="96" spans="2:13" ht="22.5" customHeight="1" hidden="1">
      <c r="B96" s="322" t="s">
        <v>59</v>
      </c>
      <c r="C96" s="323"/>
      <c r="D96" s="79">
        <v>0</v>
      </c>
      <c r="E96" s="50" t="s">
        <v>24</v>
      </c>
      <c r="F96" s="67"/>
      <c r="G96" s="319"/>
      <c r="H96" s="31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24"/>
      <c r="P98" s="324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2017-06-07T11:24:05Z</cp:lastPrinted>
  <dcterms:created xsi:type="dcterms:W3CDTF">2003-07-28T11:27:56Z</dcterms:created>
  <dcterms:modified xsi:type="dcterms:W3CDTF">2017-06-07T11:35:36Z</dcterms:modified>
  <cp:category/>
  <cp:version/>
  <cp:contentType/>
  <cp:contentStatus/>
</cp:coreProperties>
</file>